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6" sheetId="1" r:id="rId1"/>
  </sheets>
  <definedNames>
    <definedName name="_Regression_Int" localSheetId="0" hidden="1">1</definedName>
    <definedName name="_xlnm.Print_Area" localSheetId="0">TABLE13.16!$A$1:$V$108</definedName>
    <definedName name="_xlnm.Print_Area">TABLE13.16!$A$1:$U$98</definedName>
    <definedName name="Print_Area_MI" localSheetId="0">TABLE13.16!$A$1:$V$98</definedName>
  </definedNames>
  <calcPr calcId="125725"/>
</workbook>
</file>

<file path=xl/calcChain.xml><?xml version="1.0" encoding="utf-8"?>
<calcChain xmlns="http://schemas.openxmlformats.org/spreadsheetml/2006/main">
  <c r="U74" i="1"/>
  <c r="S74"/>
  <c r="Q74"/>
  <c r="O74"/>
  <c r="M74"/>
  <c r="G74"/>
  <c r="E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56"/>
  <c r="S56"/>
  <c r="Q56"/>
  <c r="O56"/>
  <c r="M56"/>
  <c r="G56"/>
  <c r="E56"/>
  <c r="C56"/>
  <c r="U55"/>
  <c r="S55"/>
  <c r="Q55"/>
  <c r="O55"/>
  <c r="M55"/>
  <c r="G55"/>
  <c r="E55"/>
  <c r="C55"/>
  <c r="U54"/>
  <c r="S54"/>
  <c r="Q54"/>
  <c r="O54"/>
  <c r="M54"/>
  <c r="G54"/>
  <c r="E54"/>
  <c r="C54"/>
  <c r="U53"/>
  <c r="S53"/>
  <c r="Q53"/>
  <c r="O53"/>
  <c r="M53"/>
  <c r="G53"/>
  <c r="E53"/>
  <c r="C53"/>
  <c r="U52"/>
  <c r="S52"/>
  <c r="Q52"/>
  <c r="O52"/>
  <c r="M52"/>
  <c r="G52"/>
  <c r="E52"/>
  <c r="C52"/>
  <c r="G39"/>
  <c r="G85" s="1"/>
  <c r="U39"/>
  <c r="U85" s="1"/>
  <c r="S39"/>
  <c r="Q39"/>
  <c r="O39"/>
  <c r="M39"/>
  <c r="M85" s="1"/>
  <c r="E39"/>
  <c r="C39"/>
  <c r="S85"/>
  <c r="Q85"/>
  <c r="O85"/>
  <c r="E85"/>
  <c r="C85"/>
  <c r="U38"/>
  <c r="U84" s="1"/>
  <c r="S38"/>
  <c r="S84" s="1"/>
  <c r="Q38"/>
  <c r="Q84" s="1"/>
  <c r="O38"/>
  <c r="O84" s="1"/>
  <c r="M38"/>
  <c r="M84" s="1"/>
  <c r="G38"/>
  <c r="G84" s="1"/>
  <c r="E38"/>
  <c r="E84" s="1"/>
  <c r="C38"/>
  <c r="C84" s="1"/>
  <c r="U37"/>
  <c r="U83" s="1"/>
  <c r="S37"/>
  <c r="S83" s="1"/>
  <c r="Q37"/>
  <c r="Q83" s="1"/>
  <c r="O37"/>
  <c r="O83" s="1"/>
  <c r="M37"/>
  <c r="M83" s="1"/>
  <c r="G37"/>
  <c r="G83" s="1"/>
  <c r="E37"/>
  <c r="E83" s="1"/>
  <c r="C37"/>
  <c r="C83" s="1"/>
  <c r="U36"/>
  <c r="U82" s="1"/>
  <c r="S36"/>
  <c r="S82" s="1"/>
  <c r="Q36"/>
  <c r="Q82" s="1"/>
  <c r="O36"/>
  <c r="O82" s="1"/>
  <c r="M36"/>
  <c r="M82" s="1"/>
  <c r="G36"/>
  <c r="G82" s="1"/>
  <c r="E36"/>
  <c r="E82" s="1"/>
  <c r="C36"/>
  <c r="C82" s="1"/>
  <c r="U35"/>
  <c r="U81" s="1"/>
  <c r="S35"/>
  <c r="S81" s="1"/>
  <c r="Q35"/>
  <c r="Q81" s="1"/>
  <c r="O35"/>
  <c r="O81" s="1"/>
  <c r="M35"/>
  <c r="M81" s="1"/>
  <c r="G35"/>
  <c r="G81" s="1"/>
  <c r="E35"/>
  <c r="E81" s="1"/>
  <c r="C35"/>
  <c r="C81" s="1"/>
  <c r="U34"/>
  <c r="U80" s="1"/>
  <c r="S34"/>
  <c r="S80" s="1"/>
  <c r="Q34"/>
  <c r="Q80" s="1"/>
  <c r="O34"/>
  <c r="O80" s="1"/>
  <c r="M34"/>
  <c r="M80" s="1"/>
  <c r="G34"/>
  <c r="G80" s="1"/>
  <c r="E34"/>
  <c r="E80" s="1"/>
  <c r="C34"/>
  <c r="C80" s="1"/>
  <c r="U33"/>
  <c r="U79" s="1"/>
  <c r="S33"/>
  <c r="S79" s="1"/>
  <c r="Q33"/>
  <c r="Q79" s="1"/>
  <c r="O33"/>
  <c r="O79" s="1"/>
  <c r="M33"/>
  <c r="M79" s="1"/>
  <c r="G33"/>
  <c r="G79" s="1"/>
  <c r="E33"/>
  <c r="E79" s="1"/>
  <c r="C33"/>
  <c r="C79" s="1"/>
  <c r="U32"/>
  <c r="U78" s="1"/>
  <c r="S32"/>
  <c r="S78" s="1"/>
  <c r="Q32"/>
  <c r="Q78" s="1"/>
  <c r="O32"/>
  <c r="O78" s="1"/>
  <c r="M32"/>
  <c r="M78" s="1"/>
  <c r="G32"/>
  <c r="G78" s="1"/>
  <c r="E32"/>
  <c r="E78" s="1"/>
  <c r="C32"/>
  <c r="C78" s="1"/>
  <c r="U31"/>
  <c r="U77" s="1"/>
  <c r="S31"/>
  <c r="S77" s="1"/>
  <c r="Q31"/>
  <c r="Q77" s="1"/>
  <c r="O31"/>
  <c r="O77" s="1"/>
  <c r="M31"/>
  <c r="M77" s="1"/>
  <c r="G31"/>
  <c r="G77" s="1"/>
  <c r="E31"/>
  <c r="E77" s="1"/>
  <c r="C31"/>
  <c r="C77" s="1"/>
  <c r="U30"/>
  <c r="U76" s="1"/>
  <c r="S30"/>
  <c r="S76" s="1"/>
  <c r="Q30"/>
  <c r="Q76" s="1"/>
  <c r="O30"/>
  <c r="O76" s="1"/>
  <c r="M30"/>
  <c r="M76" s="1"/>
  <c r="G30"/>
  <c r="G76" s="1"/>
  <c r="E30"/>
  <c r="E76" s="1"/>
  <c r="C30"/>
  <c r="C76" s="1"/>
  <c r="U29"/>
  <c r="U75" s="1"/>
  <c r="S29"/>
  <c r="S75" s="1"/>
  <c r="Q29"/>
  <c r="Q75" s="1"/>
  <c r="O29"/>
  <c r="O75" s="1"/>
  <c r="M29"/>
  <c r="M75" s="1"/>
  <c r="G29"/>
  <c r="G75" s="1"/>
  <c r="E29"/>
  <c r="E75" s="1"/>
  <c r="C29"/>
  <c r="C75" s="1"/>
  <c r="C28"/>
  <c r="C74" s="1"/>
  <c r="L70"/>
  <c r="K70"/>
  <c r="J70"/>
  <c r="L52"/>
  <c r="L71"/>
  <c r="K52"/>
  <c r="K71"/>
  <c r="J52"/>
  <c r="J71"/>
  <c r="I52"/>
  <c r="I71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</calcChain>
</file>

<file path=xl/sharedStrings.xml><?xml version="1.0" encoding="utf-8"?>
<sst xmlns="http://schemas.openxmlformats.org/spreadsheetml/2006/main" count="104" uniqueCount="68">
  <si>
    <t>Inpatient</t>
  </si>
  <si>
    <t>nursing</t>
  </si>
  <si>
    <t>Outpatient</t>
  </si>
  <si>
    <t>Year</t>
  </si>
  <si>
    <t>Hospital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</si>
  <si>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</si>
  <si>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</si>
  <si>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</si>
  <si>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</si>
  <si>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</si>
  <si>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</si>
  <si>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</si>
  <si>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</si>
  <si>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</si>
  <si>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</si>
  <si>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</si>
  <si>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</si>
  <si>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</si>
  <si>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</si>
  <si>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</si>
  <si>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</si>
  <si>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</si>
  <si>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</si>
  <si>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</si>
  <si>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</si>
  <si>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</si>
  <si>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</si>
  <si>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See footnotes at end of table.</t>
  </si>
  <si>
    <t/>
  </si>
  <si>
    <t>1994</t>
  </si>
  <si>
    <t>Table 13.16</t>
  </si>
  <si>
    <t xml:space="preserve">Medicaid Payments per Person Served (Beneficiary), Disabled, by Type of Service: </t>
  </si>
  <si>
    <t>Medicaid Payments per Person Served (Beneficiary), Disabled, by Type of Service: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</si>
  <si>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</si>
  <si>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</si>
  <si>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some not shown separately.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</si>
  <si>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</si>
  <si>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</si>
  <si>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</si>
  <si>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</si>
  <si>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</si>
  <si>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</si>
  <si>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</si>
  <si>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</si>
  <si>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</si>
  <si>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U.S. </t>
  </si>
  <si>
    <t>Department of Commerce; data development by the Office of Research, Development, and Information.</t>
  </si>
  <si>
    <t xml:space="preserve">   Nursing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</si>
  <si>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</si>
  <si>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ICF/MR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</si>
  <si>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</si>
  <si>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 Home</t>
  </si>
  <si>
    <r>
      <t xml:space="preserve"> 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</si>
  <si>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</si>
  <si>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NOTES: Beginning fiscal year 1998, capitated premiums for Medicaid eligibles enrolled in managed care plans were included in this series as a component </t>
  </si>
  <si>
    <t>Table 13.16—Continued</t>
  </si>
  <si>
    <t xml:space="preserve">   Prescribed</t>
  </si>
  <si>
    <t xml:space="preserve">    Drugs</t>
  </si>
  <si>
    <t>Fiscal Years 1975-2008</t>
  </si>
  <si>
    <t xml:space="preserve"> Fiscal Years 1975-2008</t>
  </si>
  <si>
    <t>(Constant 2008 Dollars)</t>
  </si>
  <si>
    <t xml:space="preserve">of the total payment per person served (beneficiary). Dollar amounts are adjusted using a personal consumption expenditure index for health care </t>
  </si>
  <si>
    <t xml:space="preserve">services, U.S. Department of Commerce, Bureau of Economic Analysis (BEA), expressed in fiscal year 2008 dollars. With the release of the comprehensive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</si>
  <si>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</si>
  <si>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</si>
  <si>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</si>
  <si>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</si>
  <si>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ICF/MR is intermediate care facility for the mentally retarded.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</si>
</sst>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7"/>
      <name val="Helv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2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Font="1"/>
    <xf numFmtId="164" fontId="6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6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Font="1"/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Font="1" applyBorder="1"/>
    <xf numFmtId="164" fontId="5" fillId="0" borderId="2" xfId="0" applyFont="1" applyBorder="1"/>
    <xf numFmtId="5" fontId="5" fillId="0" borderId="2" xfId="0" applyNumberFormat="1" applyFont="1" applyBorder="1" applyProtection="1"/>
    <xf numFmtId="5" fontId="5" fillId="0" borderId="0" xfId="0" applyNumberFormat="1" applyFont="1" applyBorder="1" applyProtection="1"/>
    <xf numFmtId="37" fontId="5" fillId="0" borderId="0" xfId="0" applyNumberFormat="1" applyFont="1" applyProtection="1"/>
    <xf numFmtId="164" fontId="5" fillId="0" borderId="0" xfId="0" applyFont="1" applyAlignment="1" applyProtection="1">
      <alignment horizontal="left"/>
    </xf>
    <xf numFmtId="164" fontId="2" fillId="0" borderId="0" xfId="0" applyFont="1" applyAlignment="1">
      <alignment vertical="center"/>
    </xf>
    <xf numFmtId="164" fontId="5" fillId="0" borderId="0" xfId="0" applyNumberFormat="1" applyFont="1" applyBorder="1" applyAlignment="1" applyProtection="1"/>
    <xf numFmtId="164" fontId="5" fillId="0" borderId="0" xfId="0" applyFont="1" applyBorder="1" applyAlignment="1"/>
    <xf numFmtId="164" fontId="5" fillId="0" borderId="0" xfId="0" applyNumberFormat="1" applyFont="1" applyAlignment="1" applyProtection="1"/>
    <xf numFmtId="164" fontId="5" fillId="0" borderId="0" xfId="0" applyFont="1" applyAlignment="1"/>
    <xf numFmtId="164" fontId="5" fillId="0" borderId="1" xfId="0" applyNumberFormat="1" applyFont="1" applyBorder="1" applyAlignment="1" applyProtection="1">
      <alignment horizontal="center"/>
    </xf>
    <xf numFmtId="164" fontId="5" fillId="0" borderId="2" xfId="0" applyFont="1" applyBorder="1" applyAlignment="1"/>
    <xf numFmtId="5" fontId="5" fillId="0" borderId="0" xfId="0" applyNumberFormat="1" applyFont="1" applyAlignment="1" applyProtection="1"/>
    <xf numFmtId="165" fontId="5" fillId="0" borderId="0" xfId="1" applyNumberFormat="1" applyFont="1" applyAlignment="1" applyProtection="1"/>
    <xf numFmtId="37" fontId="5" fillId="0" borderId="0" xfId="0" applyNumberFormat="1" applyFont="1" applyAlignment="1" applyProtection="1"/>
    <xf numFmtId="164" fontId="5" fillId="0" borderId="0" xfId="0" applyNumberFormat="1" applyFont="1" applyBorder="1" applyAlignment="1" applyProtection="1">
      <alignment horizontal="left"/>
    </xf>
    <xf numFmtId="165" fontId="5" fillId="0" borderId="0" xfId="1" applyNumberFormat="1" applyFont="1" applyBorder="1" applyAlignment="1" applyProtection="1"/>
    <xf numFmtId="37" fontId="5" fillId="0" borderId="0" xfId="0" applyNumberFormat="1" applyFont="1" applyBorder="1" applyAlignment="1" applyProtection="1"/>
    <xf numFmtId="164" fontId="2" fillId="0" borderId="0" xfId="0" applyFont="1" applyBorder="1"/>
    <xf numFmtId="164" fontId="5" fillId="0" borderId="1" xfId="0" applyNumberFormat="1" applyFont="1" applyBorder="1" applyAlignment="1" applyProtection="1">
      <alignment horizontal="left"/>
    </xf>
    <xf numFmtId="164" fontId="5" fillId="0" borderId="1" xfId="0" applyFont="1" applyBorder="1" applyAlignment="1"/>
    <xf numFmtId="165" fontId="5" fillId="0" borderId="1" xfId="1" applyNumberFormat="1" applyFont="1" applyBorder="1" applyAlignment="1" applyProtection="1"/>
    <xf numFmtId="37" fontId="5" fillId="0" borderId="1" xfId="0" applyNumberFormat="1" applyFont="1" applyBorder="1" applyAlignment="1" applyProtection="1"/>
    <xf numFmtId="164" fontId="10" fillId="0" borderId="0" xfId="0" applyFont="1"/>
    <xf numFmtId="1" fontId="5" fillId="0" borderId="0" xfId="0" applyNumberFormat="1" applyFont="1" applyAlignment="1" applyProtection="1">
      <alignment horizontal="left"/>
    </xf>
    <xf numFmtId="0" fontId="5" fillId="0" borderId="2" xfId="0" applyNumberFormat="1" applyFont="1" applyBorder="1" applyAlignment="1" applyProtection="1">
      <alignment horizontal="left"/>
    </xf>
    <xf numFmtId="3" fontId="5" fillId="0" borderId="0" xfId="0" applyNumberFormat="1" applyFont="1" applyProtection="1"/>
    <xf numFmtId="166" fontId="5" fillId="0" borderId="2" xfId="0" applyNumberFormat="1" applyFont="1" applyBorder="1" applyProtection="1"/>
    <xf numFmtId="164" fontId="5" fillId="0" borderId="1" xfId="0" quotePrefix="1" applyNumberFormat="1" applyFont="1" applyBorder="1" applyAlignment="1" applyProtection="1">
      <alignment horizontal="centerContinuous"/>
    </xf>
    <xf numFmtId="164" fontId="5" fillId="0" borderId="0" xfId="0" quotePrefix="1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righ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1" xfId="0" quotePrefix="1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3" fontId="7" fillId="0" borderId="0" xfId="0" applyNumberFormat="1" applyFont="1" applyBorder="1"/>
    <xf numFmtId="164" fontId="4" fillId="0" borderId="0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164" fontId="5" fillId="0" borderId="3" xfId="0" applyFont="1" applyBorder="1" applyAlignment="1" applyProtection="1">
      <alignment horizontal="center"/>
    </xf>
    <xf numFmtId="164" fontId="4" fillId="0" borderId="0" xfId="0" applyNumberFormat="1" applyFont="1" applyAlignment="1" applyProtection="1">
      <alignment horizontal="center" vertical="top"/>
    </xf>
    <xf numFmtId="164" fontId="7" fillId="0" borderId="0" xfId="0" applyNumberFormat="1" applyFont="1" applyAlignment="1" applyProtection="1">
      <alignment horizontal="left" vertical="center"/>
    </xf>
    <xf numFmtId="164" fontId="7" fillId="0" borderId="0" xfId="0" applyNumberFormat="1" applyFont="1" applyBorder="1" applyAlignment="1" applyProtection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V108"/>
  <sheetViews>
    <sheetView showGridLines="0" tabSelected="1" topLeftCell="A81" zoomScale="110" zoomScaleNormal="110" zoomScaleSheetLayoutView="75" workbookViewId="0">
      <selection activeCell="A86" sqref="A86"/>
    </sheetView>
  </sheetViews>
  <sheetFormatPr defaultColWidth="9.7109375" defaultRowHeight="12.75"/>
  <cols>
    <col min="1" max="1" width="5.7109375" style="15" customWidth="1"/>
    <col min="2" max="2" width="1.7109375" style="15" customWidth="1"/>
    <col min="3" max="3" width="8.7109375" style="15" customWidth="1"/>
    <col min="4" max="4" width="2.7109375" style="15" customWidth="1"/>
    <col min="5" max="5" width="7.85546875" style="15" customWidth="1"/>
    <col min="6" max="6" width="2.7109375" style="15" customWidth="1"/>
    <col min="7" max="7" width="7.7109375" style="15" customWidth="1"/>
    <col min="8" max="8" width="2.7109375" style="15" customWidth="1"/>
    <col min="9" max="11" width="0" style="15" hidden="1" customWidth="1"/>
    <col min="12" max="12" width="0.140625" style="15" hidden="1" customWidth="1"/>
    <col min="13" max="13" width="7.7109375" style="15" customWidth="1"/>
    <col min="14" max="14" width="3.7109375" style="15" customWidth="1"/>
    <col min="15" max="15" width="6.7109375" style="15" customWidth="1"/>
    <col min="16" max="16" width="3.7109375" style="15" customWidth="1"/>
    <col min="17" max="17" width="6.7109375" style="15" customWidth="1"/>
    <col min="18" max="18" width="2.7109375" style="15" customWidth="1"/>
    <col min="19" max="19" width="7.140625" style="15" customWidth="1"/>
    <col min="20" max="20" width="3.7109375" style="15" customWidth="1"/>
    <col min="21" max="21" width="6.7109375" style="15" customWidth="1"/>
    <col min="22" max="22" width="1.7109375" style="15" customWidth="1"/>
  </cols>
  <sheetData>
    <row r="1" spans="1:22" s="3" customFormat="1" ht="15" customHeight="1">
      <c r="A1" s="59" t="s">
        <v>30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s="5" customFormat="1" ht="15" customHeight="1">
      <c r="A2" s="56" t="s">
        <v>31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</row>
    <row r="3" spans="1:22" s="4" customFormat="1" ht="15" customHeight="1">
      <c r="A3" s="57" t="s">
        <v>58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</row>
    <row r="4" spans="1:22" s="1" customFormat="1" ht="10.5" customHeight="1">
      <c r="A4" s="27" t="s">
        <v>28</v>
      </c>
      <c r="B4" s="28"/>
      <c r="C4" s="16"/>
      <c r="D4" s="16"/>
      <c r="E4" s="51" t="s">
        <v>0</v>
      </c>
      <c r="F4" s="16"/>
      <c r="G4" s="16"/>
      <c r="H4" s="16"/>
      <c r="I4" s="16"/>
      <c r="J4" s="16"/>
      <c r="K4" s="17" t="s">
        <v>1</v>
      </c>
      <c r="L4" s="16"/>
      <c r="M4" s="50" t="s">
        <v>53</v>
      </c>
      <c r="N4" s="16"/>
      <c r="O4" s="16"/>
      <c r="P4" s="16"/>
      <c r="Q4" s="36" t="s">
        <v>2</v>
      </c>
      <c r="R4" s="16"/>
      <c r="S4" s="17" t="s">
        <v>51</v>
      </c>
      <c r="T4" s="16"/>
      <c r="U4" s="52" t="s">
        <v>56</v>
      </c>
      <c r="V4" s="16"/>
    </row>
    <row r="5" spans="1:22" s="1" customFormat="1" ht="13.9" customHeight="1">
      <c r="A5" s="29" t="s">
        <v>3</v>
      </c>
      <c r="B5" s="30"/>
      <c r="C5" s="54" t="s">
        <v>33</v>
      </c>
      <c r="D5" s="20"/>
      <c r="E5" s="54" t="s">
        <v>4</v>
      </c>
      <c r="F5" s="20"/>
      <c r="G5" s="49" t="s">
        <v>49</v>
      </c>
      <c r="H5" s="20"/>
      <c r="I5" s="31" t="s">
        <v>5</v>
      </c>
      <c r="J5" s="20"/>
      <c r="K5" s="31" t="s">
        <v>6</v>
      </c>
      <c r="L5" s="20"/>
      <c r="M5" s="49" t="s">
        <v>52</v>
      </c>
      <c r="N5" s="20"/>
      <c r="O5" s="31" t="s">
        <v>7</v>
      </c>
      <c r="P5" s="20"/>
      <c r="Q5" s="54" t="s">
        <v>4</v>
      </c>
      <c r="R5" s="20"/>
      <c r="S5" s="19" t="s">
        <v>50</v>
      </c>
      <c r="T5" s="20"/>
      <c r="U5" s="53" t="s">
        <v>57</v>
      </c>
      <c r="V5" s="20"/>
    </row>
    <row r="6" spans="1:22" s="1" customFormat="1" ht="10.35" customHeight="1">
      <c r="A6" s="46" t="s">
        <v>8</v>
      </c>
      <c r="B6" s="21"/>
      <c r="C6" s="22">
        <v>1276</v>
      </c>
      <c r="D6" s="22"/>
      <c r="E6" s="22">
        <v>1977</v>
      </c>
      <c r="F6" s="22"/>
      <c r="G6" s="48">
        <v>5186</v>
      </c>
      <c r="H6" s="22"/>
      <c r="I6" s="22">
        <v>2818</v>
      </c>
      <c r="J6" s="22"/>
      <c r="K6" s="22">
        <v>4295</v>
      </c>
      <c r="L6" s="22"/>
      <c r="M6" s="48">
        <v>3447</v>
      </c>
      <c r="N6" s="22"/>
      <c r="O6" s="22">
        <v>147</v>
      </c>
      <c r="P6" s="22"/>
      <c r="Q6" s="22">
        <v>92</v>
      </c>
      <c r="R6" s="22"/>
      <c r="S6" s="22">
        <v>276</v>
      </c>
      <c r="T6" s="22"/>
      <c r="U6" s="48">
        <v>115</v>
      </c>
      <c r="V6" s="23"/>
    </row>
    <row r="7" spans="1:22" s="1" customFormat="1" ht="10.35" customHeight="1">
      <c r="A7" s="45" t="s">
        <v>9</v>
      </c>
      <c r="B7" s="6"/>
      <c r="C7" s="24">
        <v>1469</v>
      </c>
      <c r="D7" s="24"/>
      <c r="E7" s="24">
        <v>2072</v>
      </c>
      <c r="F7" s="24"/>
      <c r="G7" s="47">
        <v>6940</v>
      </c>
      <c r="H7" s="24"/>
      <c r="I7" s="24">
        <v>3297</v>
      </c>
      <c r="J7" s="24"/>
      <c r="K7" s="24">
        <v>4645</v>
      </c>
      <c r="L7" s="24"/>
      <c r="M7" s="47">
        <v>3882</v>
      </c>
      <c r="N7" s="24"/>
      <c r="O7" s="24">
        <v>158</v>
      </c>
      <c r="P7" s="24"/>
      <c r="Q7" s="24">
        <v>114</v>
      </c>
      <c r="R7" s="24"/>
      <c r="S7" s="24">
        <v>492</v>
      </c>
      <c r="T7" s="24"/>
      <c r="U7" s="47">
        <v>135</v>
      </c>
      <c r="V7" s="24"/>
    </row>
    <row r="8" spans="1:22" s="1" customFormat="1" ht="10.35" customHeight="1">
      <c r="A8" s="45" t="s">
        <v>10</v>
      </c>
      <c r="B8" s="6"/>
      <c r="C8" s="24">
        <v>1743</v>
      </c>
      <c r="D8" s="24"/>
      <c r="E8" s="24">
        <v>2214</v>
      </c>
      <c r="F8" s="24"/>
      <c r="G8" s="47">
        <v>8684</v>
      </c>
      <c r="H8" s="24"/>
      <c r="I8" s="24">
        <v>3835</v>
      </c>
      <c r="J8" s="24"/>
      <c r="K8" s="24">
        <v>5188</v>
      </c>
      <c r="L8" s="24"/>
      <c r="M8" s="47">
        <v>4417</v>
      </c>
      <c r="N8" s="24"/>
      <c r="O8" s="24">
        <v>173</v>
      </c>
      <c r="P8" s="24"/>
      <c r="Q8" s="24">
        <v>170</v>
      </c>
      <c r="R8" s="24"/>
      <c r="S8" s="24">
        <v>600</v>
      </c>
      <c r="T8" s="24"/>
      <c r="U8" s="47">
        <v>146</v>
      </c>
      <c r="V8" s="24"/>
    </row>
    <row r="9" spans="1:22" s="1" customFormat="1" ht="10.35" customHeight="1">
      <c r="A9" s="45" t="s">
        <v>11</v>
      </c>
      <c r="B9" s="6"/>
      <c r="C9" s="24">
        <v>2068</v>
      </c>
      <c r="D9" s="24"/>
      <c r="E9" s="24">
        <v>2392</v>
      </c>
      <c r="F9" s="24"/>
      <c r="G9" s="47">
        <v>11926</v>
      </c>
      <c r="H9" s="24"/>
      <c r="I9" s="24">
        <v>4717</v>
      </c>
      <c r="J9" s="24"/>
      <c r="K9" s="24">
        <v>5813</v>
      </c>
      <c r="L9" s="24"/>
      <c r="M9" s="47">
        <v>5167</v>
      </c>
      <c r="N9" s="24"/>
      <c r="O9" s="24">
        <v>183</v>
      </c>
      <c r="P9" s="24"/>
      <c r="Q9" s="24">
        <v>165</v>
      </c>
      <c r="R9" s="24"/>
      <c r="S9" s="24">
        <v>893</v>
      </c>
      <c r="T9" s="24"/>
      <c r="U9" s="47">
        <v>157</v>
      </c>
      <c r="V9" s="24"/>
    </row>
    <row r="10" spans="1:22" s="1" customFormat="1" ht="10.35" customHeight="1">
      <c r="A10" s="45" t="s">
        <v>12</v>
      </c>
      <c r="B10" s="6"/>
      <c r="C10" s="24">
        <v>2500</v>
      </c>
      <c r="D10" s="24"/>
      <c r="E10" s="24">
        <v>2734</v>
      </c>
      <c r="F10" s="24"/>
      <c r="G10" s="47">
        <v>13719</v>
      </c>
      <c r="H10" s="24"/>
      <c r="I10" s="24">
        <v>5536</v>
      </c>
      <c r="J10" s="24"/>
      <c r="K10" s="24">
        <v>6386</v>
      </c>
      <c r="L10" s="24"/>
      <c r="M10" s="47">
        <v>5893</v>
      </c>
      <c r="N10" s="24"/>
      <c r="O10" s="24">
        <v>200</v>
      </c>
      <c r="P10" s="24"/>
      <c r="Q10" s="24">
        <v>186</v>
      </c>
      <c r="R10" s="24"/>
      <c r="S10" s="24">
        <v>1488</v>
      </c>
      <c r="T10" s="24"/>
      <c r="U10" s="47">
        <v>179</v>
      </c>
      <c r="V10" s="24"/>
    </row>
    <row r="11" spans="1:22" s="1" customFormat="1" ht="10.35" customHeight="1">
      <c r="A11" s="45" t="s">
        <v>13</v>
      </c>
      <c r="B11" s="6"/>
      <c r="C11" s="24">
        <v>2619</v>
      </c>
      <c r="D11" s="24"/>
      <c r="E11" s="24">
        <v>2948</v>
      </c>
      <c r="F11" s="24"/>
      <c r="G11" s="47">
        <v>16653</v>
      </c>
      <c r="H11" s="24"/>
      <c r="I11" s="24">
        <v>5092</v>
      </c>
      <c r="J11" s="24"/>
      <c r="K11" s="24">
        <v>5149</v>
      </c>
      <c r="L11" s="24"/>
      <c r="M11" s="47">
        <v>5105</v>
      </c>
      <c r="N11" s="24"/>
      <c r="O11" s="24">
        <v>234</v>
      </c>
      <c r="P11" s="24"/>
      <c r="Q11" s="24">
        <v>217</v>
      </c>
      <c r="R11" s="24"/>
      <c r="S11" s="24">
        <v>652</v>
      </c>
      <c r="T11" s="24"/>
      <c r="U11" s="47">
        <v>193</v>
      </c>
      <c r="V11" s="24"/>
    </row>
    <row r="12" spans="1:22" s="1" customFormat="1" ht="10.35" customHeight="1">
      <c r="A12" s="45" t="s">
        <v>14</v>
      </c>
      <c r="B12" s="6"/>
      <c r="C12" s="24">
        <v>3071</v>
      </c>
      <c r="D12" s="24"/>
      <c r="E12" s="24">
        <v>3254</v>
      </c>
      <c r="F12" s="24"/>
      <c r="G12" s="47">
        <v>19452</v>
      </c>
      <c r="H12" s="24"/>
      <c r="I12" s="24">
        <v>5871</v>
      </c>
      <c r="J12" s="24"/>
      <c r="K12" s="24">
        <v>5602</v>
      </c>
      <c r="L12" s="24"/>
      <c r="M12" s="47">
        <v>5743</v>
      </c>
      <c r="N12" s="24"/>
      <c r="O12" s="24">
        <v>255</v>
      </c>
      <c r="P12" s="24"/>
      <c r="Q12" s="24">
        <v>249</v>
      </c>
      <c r="R12" s="24"/>
      <c r="S12" s="24">
        <v>828</v>
      </c>
      <c r="T12" s="24"/>
      <c r="U12" s="47">
        <v>225</v>
      </c>
      <c r="V12" s="24"/>
    </row>
    <row r="13" spans="1:22" s="1" customFormat="1" ht="10.35" customHeight="1">
      <c r="A13" s="45" t="s">
        <v>15</v>
      </c>
      <c r="B13" s="6"/>
      <c r="C13" s="24">
        <v>3600</v>
      </c>
      <c r="D13" s="24"/>
      <c r="E13" s="24">
        <v>3672</v>
      </c>
      <c r="F13" s="24"/>
      <c r="G13" s="47">
        <v>23065</v>
      </c>
      <c r="H13" s="24"/>
      <c r="I13" s="24">
        <v>6709</v>
      </c>
      <c r="J13" s="24"/>
      <c r="K13" s="24">
        <v>6782</v>
      </c>
      <c r="L13" s="24"/>
      <c r="M13" s="47">
        <v>6732</v>
      </c>
      <c r="N13" s="24"/>
      <c r="O13" s="24">
        <v>252</v>
      </c>
      <c r="P13" s="24"/>
      <c r="Q13" s="24">
        <v>272</v>
      </c>
      <c r="R13" s="24"/>
      <c r="S13" s="24">
        <v>966</v>
      </c>
      <c r="T13" s="24"/>
      <c r="U13" s="47">
        <v>246</v>
      </c>
      <c r="V13" s="24"/>
    </row>
    <row r="14" spans="1:22" s="1" customFormat="1" ht="10.35" customHeight="1">
      <c r="A14" s="45" t="s">
        <v>16</v>
      </c>
      <c r="B14" s="6"/>
      <c r="C14" s="24">
        <v>3891</v>
      </c>
      <c r="D14" s="24"/>
      <c r="E14" s="24">
        <v>3934</v>
      </c>
      <c r="F14" s="24"/>
      <c r="G14" s="47">
        <v>25501</v>
      </c>
      <c r="H14" s="24"/>
      <c r="I14" s="24">
        <v>7163</v>
      </c>
      <c r="J14" s="24"/>
      <c r="K14" s="24">
        <v>8188</v>
      </c>
      <c r="L14" s="24"/>
      <c r="M14" s="47">
        <v>7571</v>
      </c>
      <c r="N14" s="24"/>
      <c r="O14" s="24">
        <v>264</v>
      </c>
      <c r="P14" s="24"/>
      <c r="Q14" s="24">
        <v>273</v>
      </c>
      <c r="R14" s="24"/>
      <c r="S14" s="24">
        <v>1348</v>
      </c>
      <c r="T14" s="24"/>
      <c r="U14" s="47">
        <v>278</v>
      </c>
      <c r="V14" s="24"/>
    </row>
    <row r="15" spans="1:22" s="1" customFormat="1" ht="10.35" customHeight="1">
      <c r="A15" s="45" t="s">
        <v>17</v>
      </c>
      <c r="B15" s="6"/>
      <c r="C15" s="24">
        <v>4112</v>
      </c>
      <c r="D15" s="24"/>
      <c r="E15" s="24">
        <v>4196</v>
      </c>
      <c r="F15" s="24"/>
      <c r="G15" s="47">
        <v>29353</v>
      </c>
      <c r="H15" s="24"/>
      <c r="I15" s="24">
        <v>7886</v>
      </c>
      <c r="J15" s="24"/>
      <c r="K15" s="24">
        <v>9417</v>
      </c>
      <c r="L15" s="24"/>
      <c r="M15" s="47">
        <v>8530</v>
      </c>
      <c r="N15" s="24"/>
      <c r="O15" s="24">
        <v>262</v>
      </c>
      <c r="P15" s="24"/>
      <c r="Q15" s="24">
        <v>315</v>
      </c>
      <c r="R15" s="24"/>
      <c r="S15" s="24">
        <v>1813</v>
      </c>
      <c r="T15" s="24"/>
      <c r="U15" s="47">
        <v>312</v>
      </c>
      <c r="V15" s="24"/>
    </row>
    <row r="16" spans="1:22" s="1" customFormat="1" ht="10.35" customHeight="1">
      <c r="A16" s="45" t="s">
        <v>18</v>
      </c>
      <c r="B16" s="6"/>
      <c r="C16" s="24">
        <v>4459</v>
      </c>
      <c r="D16" s="24"/>
      <c r="E16" s="24">
        <v>4525</v>
      </c>
      <c r="F16" s="24"/>
      <c r="G16" s="47">
        <v>31726</v>
      </c>
      <c r="H16" s="24"/>
      <c r="I16" s="24">
        <v>8651</v>
      </c>
      <c r="J16" s="24"/>
      <c r="K16" s="24">
        <v>10133</v>
      </c>
      <c r="L16" s="24"/>
      <c r="M16" s="47">
        <v>9297</v>
      </c>
      <c r="N16" s="24"/>
      <c r="O16" s="24">
        <v>272</v>
      </c>
      <c r="P16" s="24"/>
      <c r="Q16" s="24">
        <v>343</v>
      </c>
      <c r="R16" s="24"/>
      <c r="S16" s="24">
        <v>2303</v>
      </c>
      <c r="T16" s="24"/>
      <c r="U16" s="47">
        <v>374</v>
      </c>
      <c r="V16" s="24"/>
    </row>
    <row r="17" spans="1:22" s="1" customFormat="1" ht="10.35" customHeight="1">
      <c r="A17" s="45" t="s">
        <v>19</v>
      </c>
      <c r="B17" s="6"/>
      <c r="C17" s="24">
        <v>4687</v>
      </c>
      <c r="D17" s="24"/>
      <c r="E17" s="24">
        <v>4841</v>
      </c>
      <c r="F17" s="24"/>
      <c r="G17" s="47">
        <v>34462</v>
      </c>
      <c r="H17" s="24"/>
      <c r="I17" s="24">
        <v>9152</v>
      </c>
      <c r="J17" s="24"/>
      <c r="K17" s="24">
        <v>11263</v>
      </c>
      <c r="L17" s="24"/>
      <c r="M17" s="47">
        <v>10073</v>
      </c>
      <c r="N17" s="24"/>
      <c r="O17" s="24">
        <v>277</v>
      </c>
      <c r="P17" s="24"/>
      <c r="Q17" s="24">
        <v>361</v>
      </c>
      <c r="R17" s="24"/>
      <c r="S17" s="24">
        <v>2592</v>
      </c>
      <c r="T17" s="24"/>
      <c r="U17" s="47">
        <v>418</v>
      </c>
      <c r="V17" s="24"/>
    </row>
    <row r="18" spans="1:22" s="1" customFormat="1" ht="10.35" customHeight="1">
      <c r="A18" s="45" t="s">
        <v>20</v>
      </c>
      <c r="B18" s="6"/>
      <c r="C18" s="24">
        <v>4974</v>
      </c>
      <c r="D18" s="24"/>
      <c r="E18" s="24">
        <v>5259</v>
      </c>
      <c r="F18" s="24"/>
      <c r="G18" s="47">
        <v>36753</v>
      </c>
      <c r="H18" s="24"/>
      <c r="I18" s="24">
        <v>9578</v>
      </c>
      <c r="J18" s="24"/>
      <c r="K18" s="24">
        <v>11832</v>
      </c>
      <c r="L18" s="24"/>
      <c r="M18" s="47">
        <v>10555</v>
      </c>
      <c r="N18" s="24"/>
      <c r="O18" s="24">
        <v>291</v>
      </c>
      <c r="P18" s="24"/>
      <c r="Q18" s="24">
        <v>400</v>
      </c>
      <c r="R18" s="24"/>
      <c r="S18" s="24">
        <v>2975</v>
      </c>
      <c r="T18" s="24"/>
      <c r="U18" s="47">
        <v>447</v>
      </c>
      <c r="V18" s="24"/>
    </row>
    <row r="19" spans="1:22" s="1" customFormat="1" ht="10.35" customHeight="1">
      <c r="A19" s="45" t="s">
        <v>21</v>
      </c>
      <c r="B19" s="6"/>
      <c r="C19" s="24">
        <v>5332</v>
      </c>
      <c r="D19" s="24"/>
      <c r="E19" s="24">
        <v>5502</v>
      </c>
      <c r="F19" s="24"/>
      <c r="G19" s="47">
        <v>40910</v>
      </c>
      <c r="H19" s="24"/>
      <c r="I19" s="24">
        <v>10204</v>
      </c>
      <c r="J19" s="24"/>
      <c r="K19" s="24">
        <v>12884</v>
      </c>
      <c r="L19" s="24"/>
      <c r="M19" s="47">
        <v>11370</v>
      </c>
      <c r="N19" s="24"/>
      <c r="O19" s="24">
        <v>309</v>
      </c>
      <c r="P19" s="24"/>
      <c r="Q19" s="24">
        <v>453</v>
      </c>
      <c r="R19" s="24"/>
      <c r="S19" s="24">
        <v>3768</v>
      </c>
      <c r="T19" s="24"/>
      <c r="U19" s="47">
        <v>488</v>
      </c>
      <c r="V19" s="24"/>
    </row>
    <row r="20" spans="1:22" s="1" customFormat="1" ht="10.35" customHeight="1">
      <c r="A20" s="45" t="s">
        <v>22</v>
      </c>
      <c r="B20" s="6"/>
      <c r="C20" s="24">
        <v>5817</v>
      </c>
      <c r="D20" s="24"/>
      <c r="E20" s="24">
        <v>5700</v>
      </c>
      <c r="F20" s="24"/>
      <c r="G20" s="47">
        <v>44466</v>
      </c>
      <c r="H20" s="24"/>
      <c r="I20" s="24">
        <v>11230</v>
      </c>
      <c r="J20" s="24"/>
      <c r="K20" s="24">
        <v>14207</v>
      </c>
      <c r="L20" s="24"/>
      <c r="M20" s="47">
        <v>12554</v>
      </c>
      <c r="N20" s="24"/>
      <c r="O20" s="24">
        <v>344</v>
      </c>
      <c r="P20" s="24"/>
      <c r="Q20" s="24">
        <v>503</v>
      </c>
      <c r="R20" s="24"/>
      <c r="S20" s="24">
        <v>4453</v>
      </c>
      <c r="T20" s="24"/>
      <c r="U20" s="47">
        <v>534</v>
      </c>
      <c r="V20" s="24"/>
    </row>
    <row r="21" spans="1:22" s="1" customFormat="1" ht="10.35" customHeight="1">
      <c r="A21" s="45" t="s">
        <v>23</v>
      </c>
      <c r="B21" s="6"/>
      <c r="C21" s="24">
        <v>6563.66</v>
      </c>
      <c r="D21" s="24"/>
      <c r="E21" s="24">
        <v>6716.62</v>
      </c>
      <c r="F21" s="24"/>
      <c r="G21" s="47">
        <v>50242.239999999998</v>
      </c>
      <c r="H21" s="24"/>
      <c r="I21" s="24">
        <v>12782.02</v>
      </c>
      <c r="J21" s="24"/>
      <c r="K21" s="24">
        <v>15965.61</v>
      </c>
      <c r="L21" s="24"/>
      <c r="M21" s="47">
        <v>14202</v>
      </c>
      <c r="N21" s="24"/>
      <c r="O21" s="24">
        <v>366.05</v>
      </c>
      <c r="P21" s="24"/>
      <c r="Q21" s="24">
        <v>524.09</v>
      </c>
      <c r="R21" s="24"/>
      <c r="S21" s="24">
        <v>5252.25</v>
      </c>
      <c r="T21" s="24"/>
      <c r="U21" s="47">
        <v>616.69000000000005</v>
      </c>
      <c r="V21" s="24"/>
    </row>
    <row r="22" spans="1:22" s="1" customFormat="1" ht="10.35" customHeight="1">
      <c r="A22" s="45" t="s">
        <v>24</v>
      </c>
      <c r="B22" s="6"/>
      <c r="C22" s="24">
        <v>7004.74</v>
      </c>
      <c r="D22" s="24"/>
      <c r="E22" s="24">
        <v>7425.52</v>
      </c>
      <c r="F22" s="24"/>
      <c r="G22" s="47">
        <v>52670.31</v>
      </c>
      <c r="H22" s="24"/>
      <c r="I22" s="24">
        <v>13182.5</v>
      </c>
      <c r="J22" s="24"/>
      <c r="K22" s="24">
        <v>16521.939999999999</v>
      </c>
      <c r="L22" s="24"/>
      <c r="M22" s="47">
        <v>16195</v>
      </c>
      <c r="N22" s="24"/>
      <c r="O22" s="24">
        <v>405.52</v>
      </c>
      <c r="P22" s="24"/>
      <c r="Q22" s="24">
        <v>597.34</v>
      </c>
      <c r="R22" s="24"/>
      <c r="S22" s="24">
        <v>5627.34</v>
      </c>
      <c r="T22" s="24"/>
      <c r="U22" s="47">
        <v>699.66</v>
      </c>
      <c r="V22" s="24"/>
    </row>
    <row r="23" spans="1:22" s="1" customFormat="1" ht="10.35" customHeight="1">
      <c r="A23" s="45" t="s">
        <v>25</v>
      </c>
      <c r="B23" s="6"/>
      <c r="C23" s="24">
        <v>7578</v>
      </c>
      <c r="D23" s="24"/>
      <c r="E23" s="24">
        <v>8314</v>
      </c>
      <c r="F23" s="24"/>
      <c r="G23" s="47">
        <v>57775</v>
      </c>
      <c r="H23" s="24"/>
      <c r="I23" s="24">
        <v>13263</v>
      </c>
      <c r="J23" s="24"/>
      <c r="K23" s="24">
        <v>17995</v>
      </c>
      <c r="L23" s="24"/>
      <c r="M23" s="47">
        <v>17548</v>
      </c>
      <c r="N23" s="24"/>
      <c r="O23" s="24">
        <v>452</v>
      </c>
      <c r="P23" s="24"/>
      <c r="Q23" s="24">
        <v>658</v>
      </c>
      <c r="R23" s="24"/>
      <c r="S23" s="24">
        <v>6159</v>
      </c>
      <c r="T23" s="24"/>
      <c r="U23" s="47">
        <v>800</v>
      </c>
      <c r="V23" s="24"/>
    </row>
    <row r="24" spans="1:22" s="1" customFormat="1" ht="10.35" customHeight="1">
      <c r="A24" s="45" t="s">
        <v>26</v>
      </c>
      <c r="B24" s="6"/>
      <c r="C24" s="24">
        <v>7706</v>
      </c>
      <c r="D24" s="24"/>
      <c r="E24" s="24">
        <v>8524</v>
      </c>
      <c r="F24" s="24"/>
      <c r="G24" s="47">
        <v>59188</v>
      </c>
      <c r="H24" s="24"/>
      <c r="I24" s="24"/>
      <c r="J24" s="24"/>
      <c r="K24" s="24"/>
      <c r="L24" s="24"/>
      <c r="M24" s="47">
        <v>18469</v>
      </c>
      <c r="N24" s="24"/>
      <c r="O24" s="24">
        <v>462</v>
      </c>
      <c r="P24" s="24"/>
      <c r="Q24" s="24">
        <v>716</v>
      </c>
      <c r="R24" s="24"/>
      <c r="S24" s="24">
        <v>6446</v>
      </c>
      <c r="T24" s="24"/>
      <c r="U24" s="47">
        <v>867</v>
      </c>
      <c r="V24" s="24"/>
    </row>
    <row r="25" spans="1:22" s="1" customFormat="1" ht="10.35" customHeight="1">
      <c r="A25" s="18">
        <v>1994</v>
      </c>
      <c r="B25" s="6"/>
      <c r="C25" s="24">
        <v>7750</v>
      </c>
      <c r="D25" s="24"/>
      <c r="E25" s="24">
        <v>8831</v>
      </c>
      <c r="F25" s="24"/>
      <c r="G25" s="47">
        <v>52747</v>
      </c>
      <c r="H25" s="24"/>
      <c r="I25" s="24"/>
      <c r="J25" s="24"/>
      <c r="K25" s="24"/>
      <c r="L25" s="24"/>
      <c r="M25" s="47">
        <v>19132</v>
      </c>
      <c r="N25" s="24"/>
      <c r="O25" s="24">
        <v>465</v>
      </c>
      <c r="P25" s="24"/>
      <c r="Q25" s="24">
        <v>709</v>
      </c>
      <c r="R25" s="24"/>
      <c r="S25" s="24">
        <v>7212</v>
      </c>
      <c r="T25" s="24"/>
      <c r="U25" s="47">
        <v>936</v>
      </c>
      <c r="V25" s="24"/>
    </row>
    <row r="26" spans="1:22" s="1" customFormat="1" ht="10.35" customHeight="1">
      <c r="A26" s="18">
        <v>1995</v>
      </c>
      <c r="B26" s="6"/>
      <c r="C26" s="24">
        <v>8435</v>
      </c>
      <c r="D26" s="24"/>
      <c r="E26" s="24">
        <v>9318</v>
      </c>
      <c r="F26" s="24"/>
      <c r="G26" s="47">
        <v>71588</v>
      </c>
      <c r="H26" s="24"/>
      <c r="I26" s="24"/>
      <c r="J26" s="24"/>
      <c r="K26" s="24"/>
      <c r="L26" s="24"/>
      <c r="M26" s="47">
        <v>19813</v>
      </c>
      <c r="N26" s="24"/>
      <c r="O26" s="24">
        <v>481</v>
      </c>
      <c r="P26" s="24"/>
      <c r="Q26" s="24">
        <v>740</v>
      </c>
      <c r="R26" s="24"/>
      <c r="S26" s="24">
        <v>7957</v>
      </c>
      <c r="T26" s="24"/>
      <c r="U26" s="47">
        <v>1049</v>
      </c>
      <c r="V26" s="24"/>
    </row>
    <row r="27" spans="1:22" s="1" customFormat="1" ht="10.35" customHeight="1">
      <c r="A27" s="18">
        <v>1996</v>
      </c>
      <c r="B27" s="6"/>
      <c r="C27" s="24">
        <v>8369</v>
      </c>
      <c r="D27" s="24"/>
      <c r="E27" s="24">
        <v>9026</v>
      </c>
      <c r="F27" s="24"/>
      <c r="G27" s="47">
        <v>69740</v>
      </c>
      <c r="H27" s="24"/>
      <c r="I27" s="24"/>
      <c r="J27" s="24"/>
      <c r="K27" s="24"/>
      <c r="L27" s="24"/>
      <c r="M27" s="47">
        <v>20734</v>
      </c>
      <c r="N27" s="24"/>
      <c r="O27" s="24">
        <v>491</v>
      </c>
      <c r="P27" s="24"/>
      <c r="Q27" s="24">
        <v>761</v>
      </c>
      <c r="R27" s="24"/>
      <c r="S27" s="24">
        <v>9172</v>
      </c>
      <c r="T27" s="24"/>
      <c r="U27" s="47">
        <v>1166</v>
      </c>
      <c r="V27" s="24"/>
    </row>
    <row r="28" spans="1:22" s="1" customFormat="1" ht="10.35" customHeight="1">
      <c r="A28" s="18">
        <v>1997</v>
      </c>
      <c r="B28" s="6"/>
      <c r="C28" s="24">
        <f>54130400684/6129102</f>
        <v>8831.7017213940962</v>
      </c>
      <c r="D28" s="24"/>
      <c r="E28" s="24">
        <v>8572</v>
      </c>
      <c r="F28" s="24"/>
      <c r="G28" s="47">
        <v>73672</v>
      </c>
      <c r="H28" s="24"/>
      <c r="I28" s="24"/>
      <c r="J28" s="24"/>
      <c r="K28" s="24"/>
      <c r="L28" s="24"/>
      <c r="M28" s="47">
        <v>21035</v>
      </c>
      <c r="N28" s="24"/>
      <c r="O28" s="24">
        <v>502</v>
      </c>
      <c r="P28" s="24"/>
      <c r="Q28" s="24">
        <v>802</v>
      </c>
      <c r="R28" s="24"/>
      <c r="S28" s="24">
        <v>9434</v>
      </c>
      <c r="T28" s="24"/>
      <c r="U28" s="47">
        <v>1379</v>
      </c>
      <c r="V28" s="24"/>
    </row>
    <row r="29" spans="1:22" s="1" customFormat="1" ht="10.35" customHeight="1">
      <c r="A29" s="18">
        <v>1998</v>
      </c>
      <c r="B29" s="6"/>
      <c r="C29" s="24">
        <f>60373521754/6637294</f>
        <v>9096.1047911995465</v>
      </c>
      <c r="D29" s="24"/>
      <c r="E29" s="24">
        <f>9641894817/1131844</f>
        <v>8518.7488885394105</v>
      </c>
      <c r="F29" s="24"/>
      <c r="G29" s="47">
        <f>8763333275/115582</f>
        <v>75819.187027391803</v>
      </c>
      <c r="H29" s="24"/>
      <c r="I29" s="24"/>
      <c r="J29" s="24"/>
      <c r="K29" s="24"/>
      <c r="L29" s="24"/>
      <c r="M29" s="47">
        <f>5952258859/285286</f>
        <v>20864.181414440245</v>
      </c>
      <c r="N29" s="24"/>
      <c r="O29" s="24">
        <f>2101946226/4365418</f>
        <v>481.49941792515631</v>
      </c>
      <c r="P29" s="24"/>
      <c r="Q29" s="24">
        <f>2682690772/3241169</f>
        <v>827.69234557037908</v>
      </c>
      <c r="R29" s="24"/>
      <c r="S29" s="24">
        <f>1691778814/526906</f>
        <v>3210.7791788288614</v>
      </c>
      <c r="T29" s="24"/>
      <c r="U29" s="47">
        <f>7618448294/4686950</f>
        <v>1625.4596899902922</v>
      </c>
      <c r="V29" s="24"/>
    </row>
    <row r="30" spans="1:22" s="1" customFormat="1" ht="10.35" customHeight="1">
      <c r="A30" s="18">
        <v>1999</v>
      </c>
      <c r="B30" s="6"/>
      <c r="C30" s="24">
        <f>65849549697/6697764</f>
        <v>9831.5721033168684</v>
      </c>
      <c r="D30" s="24"/>
      <c r="E30" s="24">
        <f>9868157139/1167537</f>
        <v>8452.1151269724214</v>
      </c>
      <c r="F30" s="24"/>
      <c r="G30" s="47">
        <f>8521950750/110150</f>
        <v>77366.779391738542</v>
      </c>
      <c r="H30" s="24"/>
      <c r="I30" s="24"/>
      <c r="J30" s="24"/>
      <c r="K30" s="24"/>
      <c r="L30" s="24"/>
      <c r="M30" s="47">
        <f>6400098660/246407</f>
        <v>25973.688490992547</v>
      </c>
      <c r="N30" s="24"/>
      <c r="O30" s="24">
        <f>2255962720/4288014</f>
        <v>526.10899124862931</v>
      </c>
      <c r="P30" s="24"/>
      <c r="Q30" s="24">
        <f>2831516114/3299508</f>
        <v>858.16313038186297</v>
      </c>
      <c r="R30" s="24"/>
      <c r="S30" s="24">
        <f>2022691455/374677</f>
        <v>5398.4937826447849</v>
      </c>
      <c r="T30" s="24"/>
      <c r="U30" s="47">
        <f>9456913643/4865278</f>
        <v>1943.7560696428857</v>
      </c>
      <c r="V30" s="24"/>
    </row>
    <row r="31" spans="1:22" s="1" customFormat="1" ht="10.35" customHeight="1">
      <c r="A31" s="18">
        <v>2000</v>
      </c>
      <c r="B31" s="6"/>
      <c r="C31" s="24">
        <f>72741603714/6888874</f>
        <v>10559.287876944767</v>
      </c>
      <c r="D31" s="24"/>
      <c r="E31" s="24">
        <f>10409058276/1227602</f>
        <v>8479.1799589769325</v>
      </c>
      <c r="F31" s="24"/>
      <c r="G31" s="47">
        <f>8611312320/107381</f>
        <v>80194.00378092959</v>
      </c>
      <c r="H31" s="24"/>
      <c r="I31" s="24"/>
      <c r="J31" s="24"/>
      <c r="K31" s="24"/>
      <c r="L31" s="24"/>
      <c r="M31" s="47">
        <f>6967248971/262373</f>
        <v>26554.748282025972</v>
      </c>
      <c r="N31" s="24"/>
      <c r="O31" s="24">
        <f>2316401463/4334631</f>
        <v>534.39415327394647</v>
      </c>
      <c r="P31" s="24"/>
      <c r="Q31" s="24">
        <f>3173572098/3425793</f>
        <v>926.37590712573706</v>
      </c>
      <c r="R31" s="24"/>
      <c r="S31" s="24">
        <f>2174563432/430305</f>
        <v>5053.5397729517435</v>
      </c>
      <c r="T31" s="24"/>
      <c r="U31" s="47">
        <f>11591050049/5008874</f>
        <v>2314.1029399022614</v>
      </c>
      <c r="V31" s="24"/>
    </row>
    <row r="32" spans="1:22" s="1" customFormat="1" ht="10.35" customHeight="1">
      <c r="A32" s="18">
        <v>2001</v>
      </c>
      <c r="B32" s="6"/>
      <c r="C32" s="24">
        <f>80386047155/7107219</f>
        <v>11310.478424120602</v>
      </c>
      <c r="D32" s="24"/>
      <c r="E32" s="24">
        <f>11195382398/1235441</f>
        <v>9061.8511106560327</v>
      </c>
      <c r="F32" s="24"/>
      <c r="G32" s="47">
        <f>8866243913/104817</f>
        <v>84587.84274497458</v>
      </c>
      <c r="H32" s="24"/>
      <c r="I32" s="24"/>
      <c r="J32" s="24"/>
      <c r="K32" s="24"/>
      <c r="L32" s="24"/>
      <c r="M32" s="47">
        <f>7814213491/277289</f>
        <v>28180.75542484556</v>
      </c>
      <c r="N32" s="24"/>
      <c r="O32" s="24">
        <f>2527732518/4470931</f>
        <v>565.37050515876899</v>
      </c>
      <c r="P32" s="24"/>
      <c r="Q32" s="24">
        <f>3307344711/3507733</f>
        <v>942.87242244492381</v>
      </c>
      <c r="R32" s="24"/>
      <c r="S32" s="24">
        <f>2431131063/435549</f>
        <v>5581.7624721902703</v>
      </c>
      <c r="T32" s="24"/>
      <c r="U32" s="47">
        <f>13665846864/5228692</f>
        <v>2613.626288180677</v>
      </c>
      <c r="V32" s="24"/>
    </row>
    <row r="33" spans="1:22" s="1" customFormat="1" ht="10.35" customHeight="1">
      <c r="A33" s="18">
        <v>2002</v>
      </c>
      <c r="B33" s="6"/>
      <c r="C33" s="24">
        <f>92413632363/7407718</f>
        <v>12475.317278951494</v>
      </c>
      <c r="D33" s="24"/>
      <c r="E33" s="24">
        <f>12118101730/1281745</f>
        <v>9454.3780003042721</v>
      </c>
      <c r="F33" s="24"/>
      <c r="G33" s="47">
        <f>9859957808/106262</f>
        <v>92789.123186087221</v>
      </c>
      <c r="H33" s="24"/>
      <c r="I33" s="24"/>
      <c r="J33" s="24"/>
      <c r="K33" s="24"/>
      <c r="L33" s="24"/>
      <c r="M33" s="47">
        <f>8804782621/317111</f>
        <v>27765.617152984287</v>
      </c>
      <c r="N33" s="24"/>
      <c r="O33" s="24">
        <f>2778139242/4681722</f>
        <v>593.40115495964949</v>
      </c>
      <c r="P33" s="24"/>
      <c r="Q33" s="24">
        <f>3649422489/3693327</f>
        <v>988.11247663691847</v>
      </c>
      <c r="R33" s="24"/>
      <c r="S33" s="24">
        <f>2670683261/467492</f>
        <v>5712.7892263397025</v>
      </c>
      <c r="T33" s="24"/>
      <c r="U33" s="47">
        <f>16212573618/5686242</f>
        <v>2851.1930406760739</v>
      </c>
      <c r="V33" s="24"/>
    </row>
    <row r="34" spans="1:22" s="1" customFormat="1" ht="10.35" customHeight="1">
      <c r="A34" s="18">
        <v>2003</v>
      </c>
      <c r="B34" s="6"/>
      <c r="C34" s="24">
        <f>102013772972/7668562</f>
        <v>13302.855603436472</v>
      </c>
      <c r="D34" s="24"/>
      <c r="E34" s="24">
        <f>12931629251/1312783</f>
        <v>9850.5459401896587</v>
      </c>
      <c r="F34" s="24"/>
      <c r="G34" s="47">
        <f>9990304702/102472</f>
        <v>97493.019576079314</v>
      </c>
      <c r="H34" s="24"/>
      <c r="I34" s="24"/>
      <c r="J34" s="24"/>
      <c r="K34" s="24"/>
      <c r="L34" s="24"/>
      <c r="M34" s="47">
        <f>9055849673/311207</f>
        <v>29099.119470320398</v>
      </c>
      <c r="N34" s="24"/>
      <c r="O34" s="24">
        <f>3031671321/4844082</f>
        <v>625.85053700577328</v>
      </c>
      <c r="P34" s="24"/>
      <c r="Q34" s="24">
        <f>3896278137/3790141</f>
        <v>1028.0034798177694</v>
      </c>
      <c r="R34" s="24"/>
      <c r="S34" s="24">
        <f>3126523454/512497</f>
        <v>6100.5692794299284</v>
      </c>
      <c r="T34" s="24"/>
      <c r="U34" s="47">
        <f>18966067645/5918670</f>
        <v>3204.4475608540433</v>
      </c>
      <c r="V34" s="24"/>
    </row>
    <row r="35" spans="1:22" s="1" customFormat="1" ht="10.35" customHeight="1">
      <c r="A35" s="18">
        <v>2004</v>
      </c>
      <c r="B35" s="6"/>
      <c r="C35" s="24">
        <f>111613968265/7932729</f>
        <v>14070.059403894928</v>
      </c>
      <c r="D35" s="24"/>
      <c r="E35" s="24">
        <f>14017503249/1339185</f>
        <v>10467.189558574804</v>
      </c>
      <c r="F35" s="24"/>
      <c r="G35" s="47">
        <f>10266240886/100596</f>
        <v>102054.16603045847</v>
      </c>
      <c r="H35" s="24"/>
      <c r="I35" s="24"/>
      <c r="J35" s="24"/>
      <c r="K35" s="24"/>
      <c r="L35" s="24"/>
      <c r="M35" s="47">
        <f>9297489072/311080</f>
        <v>29887.77508036518</v>
      </c>
      <c r="N35" s="24"/>
      <c r="O35" s="24">
        <f>3325659978/5010818</f>
        <v>663.69602288488625</v>
      </c>
      <c r="P35" s="24"/>
      <c r="Q35" s="24">
        <f>4303758439/3875684</f>
        <v>1110.4513265271369</v>
      </c>
      <c r="R35" s="24"/>
      <c r="S35" s="24">
        <f>3215545899/516965</f>
        <v>6220.0456491251825</v>
      </c>
      <c r="T35" s="24"/>
      <c r="U35" s="47">
        <f>22078431275/6128195</f>
        <v>3602.762522243499</v>
      </c>
      <c r="V35" s="24"/>
    </row>
    <row r="36" spans="1:22" s="1" customFormat="1" ht="10.35" customHeight="1">
      <c r="A36" s="18">
        <v>2005</v>
      </c>
      <c r="B36" s="6"/>
      <c r="C36" s="24">
        <f>118683158532/8164987</f>
        <v>14535.621248631503</v>
      </c>
      <c r="D36" s="24"/>
      <c r="E36" s="24">
        <f>14372729621/1327271</f>
        <v>10828.782984786076</v>
      </c>
      <c r="F36" s="24"/>
      <c r="G36" s="47">
        <f>10817803371/98631</f>
        <v>109679.546704383</v>
      </c>
      <c r="H36" s="24"/>
      <c r="I36" s="24"/>
      <c r="J36" s="24"/>
      <c r="K36" s="24"/>
      <c r="L36" s="24"/>
      <c r="M36" s="47">
        <f>9906834501/318995</f>
        <v>31056.394303985955</v>
      </c>
      <c r="N36" s="24"/>
      <c r="O36" s="24">
        <f>3782201340/5037037</f>
        <v>750.87821272704571</v>
      </c>
      <c r="P36" s="24"/>
      <c r="Q36" s="24">
        <f>4206534524/3959518</f>
        <v>1062.3855034880507</v>
      </c>
      <c r="R36" s="24"/>
      <c r="S36" s="24">
        <f>3840761621/539199</f>
        <v>7123.0874333965749</v>
      </c>
      <c r="T36" s="24"/>
      <c r="U36" s="47">
        <f>23779426992/6266584</f>
        <v>3794.6394705632288</v>
      </c>
      <c r="V36" s="24"/>
    </row>
    <row r="37" spans="1:22" s="1" customFormat="1" ht="10.35" customHeight="1">
      <c r="A37" s="18">
        <v>2006</v>
      </c>
      <c r="B37" s="6"/>
      <c r="C37" s="24">
        <f>114745349870/8253588</f>
        <v>13902.480941621996</v>
      </c>
      <c r="D37" s="24"/>
      <c r="E37" s="24">
        <f>15142919752/1385638</f>
        <v>10928.481863228346</v>
      </c>
      <c r="F37" s="24"/>
      <c r="G37" s="47">
        <f>10872655421/95763</f>
        <v>113537.12207219907</v>
      </c>
      <c r="H37" s="24"/>
      <c r="I37" s="24"/>
      <c r="J37" s="24"/>
      <c r="K37" s="24"/>
      <c r="L37" s="24"/>
      <c r="M37" s="47">
        <f>10355732815/323787</f>
        <v>31983.164287015847</v>
      </c>
      <c r="N37" s="24"/>
      <c r="O37" s="24">
        <f>3630508054/5012064</f>
        <v>724.35388973484771</v>
      </c>
      <c r="P37" s="24"/>
      <c r="Q37" s="24">
        <f>4376043819/3978637</f>
        <v>1099.8851664527324</v>
      </c>
      <c r="R37" s="24"/>
      <c r="S37" s="24">
        <f>4133075240/547924</f>
        <v>7543.1542330688198</v>
      </c>
      <c r="T37" s="24"/>
      <c r="U37" s="47">
        <f>16223942616/6129156</f>
        <v>2647.0108798013953</v>
      </c>
      <c r="V37" s="24"/>
    </row>
    <row r="38" spans="1:22" s="1" customFormat="1" ht="10.35" customHeight="1">
      <c r="A38" s="18">
        <v>2007</v>
      </c>
      <c r="B38" s="6"/>
      <c r="C38" s="24">
        <f>119616515997/8427192</f>
        <v>14194.113056519895</v>
      </c>
      <c r="D38" s="24"/>
      <c r="E38" s="24">
        <f>15603723123/1275313</f>
        <v>12235.21058987088</v>
      </c>
      <c r="F38" s="24"/>
      <c r="G38" s="47">
        <f>10815882528/92833</f>
        <v>116509.02726401172</v>
      </c>
      <c r="H38" s="24"/>
      <c r="I38" s="24"/>
      <c r="J38" s="24"/>
      <c r="K38" s="24"/>
      <c r="L38" s="24"/>
      <c r="M38" s="47">
        <f>10859695133/324420</f>
        <v>33474.185108809565</v>
      </c>
      <c r="N38" s="24"/>
      <c r="O38" s="24">
        <f>3668550322/5026770</f>
        <v>729.80270074023679</v>
      </c>
      <c r="P38" s="24"/>
      <c r="Q38" s="24">
        <f>4526836144/3961864</f>
        <v>1142.6026092768454</v>
      </c>
      <c r="R38" s="24"/>
      <c r="S38" s="24">
        <f>4420350508/558115</f>
        <v>7920.1428164446397</v>
      </c>
      <c r="T38" s="24"/>
      <c r="U38" s="47">
        <f>13486784138/5158332</f>
        <v>2614.5630289015908</v>
      </c>
      <c r="V38" s="24"/>
    </row>
    <row r="39" spans="1:22" s="1" customFormat="1" ht="10.35" customHeight="1">
      <c r="A39" s="18">
        <v>2008</v>
      </c>
      <c r="B39" s="6"/>
      <c r="C39" s="24">
        <f>129039649346/8693801</f>
        <v>14842.719467123759</v>
      </c>
      <c r="D39" s="24"/>
      <c r="E39" s="24">
        <f>15989273449/1289196</f>
        <v>12402.515559309833</v>
      </c>
      <c r="F39" s="24"/>
      <c r="G39" s="47">
        <f>11510823789/90891</f>
        <v>126644.26388751362</v>
      </c>
      <c r="H39" s="24"/>
      <c r="I39" s="24"/>
      <c r="J39" s="24"/>
      <c r="K39" s="24"/>
      <c r="L39" s="24"/>
      <c r="M39" s="47">
        <f>11308373504/322410</f>
        <v>35074.5122793958</v>
      </c>
      <c r="N39" s="24"/>
      <c r="O39" s="24">
        <f>3876997590/5048882</f>
        <v>767.89229575973457</v>
      </c>
      <c r="P39" s="24"/>
      <c r="Q39" s="24">
        <f>4805530933/3950147</f>
        <v>1216.544835673204</v>
      </c>
      <c r="R39" s="24"/>
      <c r="S39" s="24">
        <f>4604723825/545575</f>
        <v>8440.1298171653762</v>
      </c>
      <c r="T39" s="24"/>
      <c r="U39" s="47">
        <f>14094698920/5162390</f>
        <v>2730.2661984081019</v>
      </c>
      <c r="V39" s="24"/>
    </row>
    <row r="40" spans="1:22" s="1" customFormat="1" ht="10.35" customHeight="1">
      <c r="A40" s="25" t="s">
        <v>27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s="1" customFormat="1" ht="10.3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s="1" customFormat="1" ht="10.3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s="1" customFormat="1" ht="10.3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s="1" customFormat="1" ht="10.3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s="1" customFormat="1" ht="10.3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s="3" customFormat="1" ht="15" customHeight="1">
      <c r="A46" s="59" t="s">
        <v>55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" customFormat="1" ht="15" customHeight="1">
      <c r="A47" s="56" t="s">
        <v>32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2" s="26" customFormat="1" ht="15" customHeight="1">
      <c r="A48" s="57" t="s">
        <v>59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s="1" customFormat="1" ht="10.5" customHeight="1">
      <c r="A49" s="27" t="s">
        <v>28</v>
      </c>
      <c r="B49" s="28"/>
      <c r="C49" s="16"/>
      <c r="D49" s="16"/>
      <c r="E49" s="51" t="s">
        <v>0</v>
      </c>
      <c r="F49" s="16"/>
      <c r="G49" s="16"/>
      <c r="H49" s="16"/>
      <c r="I49" s="16"/>
      <c r="J49" s="16"/>
      <c r="K49" s="17" t="s">
        <v>1</v>
      </c>
      <c r="L49" s="16"/>
      <c r="M49" s="50" t="s">
        <v>47</v>
      </c>
      <c r="N49" s="16"/>
      <c r="O49" s="16"/>
      <c r="P49" s="16"/>
      <c r="Q49" s="36" t="s">
        <v>2</v>
      </c>
      <c r="R49" s="16"/>
      <c r="S49" s="17" t="s">
        <v>51</v>
      </c>
      <c r="T49" s="16"/>
      <c r="U49" s="52" t="s">
        <v>56</v>
      </c>
      <c r="V49" s="16"/>
    </row>
    <row r="50" spans="1:22" s="1" customFormat="1" ht="13.9" customHeight="1">
      <c r="A50" s="29" t="s">
        <v>3</v>
      </c>
      <c r="B50" s="30"/>
      <c r="C50" s="54" t="s">
        <v>33</v>
      </c>
      <c r="D50" s="20"/>
      <c r="E50" s="54" t="s">
        <v>4</v>
      </c>
      <c r="F50" s="20"/>
      <c r="G50" s="49" t="s">
        <v>49</v>
      </c>
      <c r="H50" s="20"/>
      <c r="I50" s="31" t="s">
        <v>5</v>
      </c>
      <c r="J50" s="20"/>
      <c r="K50" s="31" t="s">
        <v>6</v>
      </c>
      <c r="L50" s="20"/>
      <c r="M50" s="49" t="s">
        <v>48</v>
      </c>
      <c r="N50" s="20"/>
      <c r="O50" s="31" t="s">
        <v>7</v>
      </c>
      <c r="P50" s="20"/>
      <c r="Q50" s="54" t="s">
        <v>4</v>
      </c>
      <c r="R50" s="20"/>
      <c r="S50" s="19" t="s">
        <v>50</v>
      </c>
      <c r="T50" s="20"/>
      <c r="U50" s="53" t="s">
        <v>57</v>
      </c>
      <c r="V50" s="20"/>
    </row>
    <row r="51" spans="1:22" s="1" customFormat="1" ht="12" customHeight="1">
      <c r="A51" s="32"/>
      <c r="B51" s="32"/>
      <c r="C51" s="58" t="s">
        <v>60</v>
      </c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</row>
    <row r="52" spans="1:22" s="1" customFormat="1" ht="10.35" customHeight="1">
      <c r="A52" s="29" t="s">
        <v>8</v>
      </c>
      <c r="B52" s="30"/>
      <c r="C52" s="33">
        <f>C6/0.1431</f>
        <v>8916.8413696715579</v>
      </c>
      <c r="D52" s="33"/>
      <c r="E52" s="33">
        <f>E6/0.1431</f>
        <v>13815.513626834381</v>
      </c>
      <c r="F52" s="33"/>
      <c r="G52" s="33">
        <f>G6/0.1431</f>
        <v>36240.391334730957</v>
      </c>
      <c r="H52" s="33"/>
      <c r="I52" s="33">
        <f>I6/0.245071</f>
        <v>11498.708537525859</v>
      </c>
      <c r="J52" s="33">
        <f>J6/0.245071</f>
        <v>0</v>
      </c>
      <c r="K52" s="33">
        <f>K6/0.245071</f>
        <v>17525.533416846545</v>
      </c>
      <c r="L52" s="33">
        <f>L6/0.245071</f>
        <v>0</v>
      </c>
      <c r="M52" s="33">
        <f>M6/0.1431</f>
        <v>24088.050314465407</v>
      </c>
      <c r="N52" s="33"/>
      <c r="O52" s="33">
        <f>O6/0.1431</f>
        <v>1027.2536687631027</v>
      </c>
      <c r="P52" s="33"/>
      <c r="Q52" s="33">
        <f>Q6/0.1431</f>
        <v>642.90705800139756</v>
      </c>
      <c r="R52" s="33"/>
      <c r="S52" s="33">
        <f>S6/0.1431</f>
        <v>1928.7211740041928</v>
      </c>
      <c r="T52" s="33"/>
      <c r="U52" s="33">
        <f>U6/0.1431</f>
        <v>803.63382250174698</v>
      </c>
      <c r="V52" s="30"/>
    </row>
    <row r="53" spans="1:22" s="1" customFormat="1" ht="10.35" customHeight="1">
      <c r="A53" s="29" t="s">
        <v>9</v>
      </c>
      <c r="B53" s="30"/>
      <c r="C53" s="34">
        <f>C7/0.1615</f>
        <v>9095.9752321981414</v>
      </c>
      <c r="D53" s="35"/>
      <c r="E53" s="34">
        <f>E7/0.1615</f>
        <v>12829.721362229102</v>
      </c>
      <c r="F53" s="35"/>
      <c r="G53" s="34">
        <f>G7/0.1615</f>
        <v>42972.136222910216</v>
      </c>
      <c r="H53" s="35"/>
      <c r="I53" s="35">
        <f>I7/0.267557</f>
        <v>12322.607892897589</v>
      </c>
      <c r="J53" s="35">
        <f>J7/0.267557</f>
        <v>0</v>
      </c>
      <c r="K53" s="35">
        <f>K7/0.267557</f>
        <v>17360.786673493873</v>
      </c>
      <c r="L53" s="35">
        <f>L7/0.267557</f>
        <v>0</v>
      </c>
      <c r="M53" s="34">
        <f>M7/0.1615</f>
        <v>24037.151702786377</v>
      </c>
      <c r="N53" s="34"/>
      <c r="O53" s="34">
        <f>O7/0.1615</f>
        <v>978.32817337461302</v>
      </c>
      <c r="P53" s="34"/>
      <c r="Q53" s="34">
        <f>Q7/0.1615</f>
        <v>705.88235294117646</v>
      </c>
      <c r="R53" s="34"/>
      <c r="S53" s="34">
        <f>S7/0.1615</f>
        <v>3046.4396284829722</v>
      </c>
      <c r="T53" s="34"/>
      <c r="U53" s="34">
        <f>U7/0.1615</f>
        <v>835.91331269349848</v>
      </c>
      <c r="V53" s="30"/>
    </row>
    <row r="54" spans="1:22" s="1" customFormat="1" ht="10.35" customHeight="1">
      <c r="A54" s="29" t="s">
        <v>10</v>
      </c>
      <c r="B54" s="30"/>
      <c r="C54" s="34">
        <f>C8/0.1753</f>
        <v>9942.9549343981744</v>
      </c>
      <c r="D54" s="35"/>
      <c r="E54" s="34">
        <f>E8/0.1753</f>
        <v>12629.777524244151</v>
      </c>
      <c r="F54" s="35"/>
      <c r="G54" s="34">
        <f>G8/0.1753</f>
        <v>49537.93496862521</v>
      </c>
      <c r="H54" s="35"/>
      <c r="I54" s="35">
        <f>I8/0.293164</f>
        <v>13081.415180581518</v>
      </c>
      <c r="J54" s="35">
        <f>J8/0.293164</f>
        <v>0</v>
      </c>
      <c r="K54" s="35">
        <f>K8/0.293164</f>
        <v>17696.579389010931</v>
      </c>
      <c r="L54" s="35">
        <f>L8/0.293164</f>
        <v>0</v>
      </c>
      <c r="M54" s="34">
        <f>M8/0.1753</f>
        <v>25196.805476326295</v>
      </c>
      <c r="N54" s="34"/>
      <c r="O54" s="34">
        <f>O8/0.1753</f>
        <v>986.87963491158007</v>
      </c>
      <c r="P54" s="34"/>
      <c r="Q54" s="34">
        <f>Q8/0.1753</f>
        <v>969.76611523103247</v>
      </c>
      <c r="R54" s="34"/>
      <c r="S54" s="34">
        <f>S8/0.1753</f>
        <v>3422.7039361095262</v>
      </c>
      <c r="T54" s="34"/>
      <c r="U54" s="34">
        <f>U8/0.1753</f>
        <v>832.85795778665135</v>
      </c>
      <c r="V54" s="30"/>
    </row>
    <row r="55" spans="1:22" s="1" customFormat="1" ht="10.35" customHeight="1">
      <c r="A55" s="29" t="s">
        <v>11</v>
      </c>
      <c r="B55" s="30"/>
      <c r="C55" s="34">
        <f>C9/0.1894</f>
        <v>10918.690601900738</v>
      </c>
      <c r="D55" s="35"/>
      <c r="E55" s="34">
        <f>E9/0.1894</f>
        <v>12629.355860612459</v>
      </c>
      <c r="F55" s="35"/>
      <c r="G55" s="34">
        <f>G9/0.1894</f>
        <v>62967.265047518478</v>
      </c>
      <c r="H55" s="35"/>
      <c r="I55" s="35">
        <f>I9/0.3213</f>
        <v>14680.983504512917</v>
      </c>
      <c r="J55" s="35">
        <f>J9/0.3213</f>
        <v>0</v>
      </c>
      <c r="K55" s="35">
        <f>K9/0.3213</f>
        <v>18092.125739184565</v>
      </c>
      <c r="L55" s="35">
        <f>L9/0.3213</f>
        <v>0</v>
      </c>
      <c r="M55" s="34">
        <f>M9/0.1894</f>
        <v>27280.887011615625</v>
      </c>
      <c r="N55" s="34"/>
      <c r="O55" s="34">
        <f>O9/0.1894</f>
        <v>966.20908130939802</v>
      </c>
      <c r="P55" s="34"/>
      <c r="Q55" s="34">
        <f>Q9/0.1894</f>
        <v>871.17212249208023</v>
      </c>
      <c r="R55" s="34"/>
      <c r="S55" s="34">
        <f>S9/0.1894</f>
        <v>4714.889123548046</v>
      </c>
      <c r="T55" s="34"/>
      <c r="U55" s="34">
        <f>U9/0.1894</f>
        <v>828.93347412882781</v>
      </c>
      <c r="V55" s="30"/>
    </row>
    <row r="56" spans="1:22" s="1" customFormat="1" ht="10.35" customHeight="1">
      <c r="A56" s="29" t="s">
        <v>12</v>
      </c>
      <c r="B56" s="30"/>
      <c r="C56" s="34">
        <f>C10/0.2077</f>
        <v>12036.591237361579</v>
      </c>
      <c r="D56" s="35"/>
      <c r="E56" s="34">
        <f>E10/0.2077</f>
        <v>13163.216177178623</v>
      </c>
      <c r="F56" s="35"/>
      <c r="G56" s="34">
        <f>G10/0.2077</f>
        <v>66051.998074145406</v>
      </c>
      <c r="H56" s="35"/>
      <c r="I56" s="35">
        <f>I10/0.349451</f>
        <v>15841.992153406343</v>
      </c>
      <c r="J56" s="35">
        <f>J10/0.349451</f>
        <v>0</v>
      </c>
      <c r="K56" s="35">
        <f>K10/0.349451</f>
        <v>18274.378954417072</v>
      </c>
      <c r="L56" s="35">
        <f>L10/0.349451</f>
        <v>0</v>
      </c>
      <c r="M56" s="34">
        <f>M10/0.2077</f>
        <v>28372.652864708714</v>
      </c>
      <c r="N56" s="34"/>
      <c r="O56" s="34">
        <f>O10/0.2077</f>
        <v>962.9272989889264</v>
      </c>
      <c r="P56" s="34"/>
      <c r="Q56" s="34">
        <f>Q10/0.2077</f>
        <v>895.52238805970148</v>
      </c>
      <c r="R56" s="34"/>
      <c r="S56" s="34">
        <f>S10/0.2077</f>
        <v>7164.1791044776119</v>
      </c>
      <c r="T56" s="34"/>
      <c r="U56" s="34">
        <f>U10/0.2077</f>
        <v>861.81993259508909</v>
      </c>
      <c r="V56" s="30"/>
    </row>
    <row r="57" spans="1:22" s="1" customFormat="1" ht="10.35" customHeight="1">
      <c r="A57" s="29" t="s">
        <v>13</v>
      </c>
      <c r="B57" s="30"/>
      <c r="C57" s="34">
        <f>C11/0.2312</f>
        <v>11327.854671280278</v>
      </c>
      <c r="D57" s="35"/>
      <c r="E57" s="34">
        <f>E11/0.2312</f>
        <v>12750.865051903114</v>
      </c>
      <c r="F57" s="35"/>
      <c r="G57" s="34">
        <f>G11/0.2312</f>
        <v>72028.546712802767</v>
      </c>
      <c r="H57" s="35"/>
      <c r="I57" s="35">
        <f>I11/0.385079</f>
        <v>13223.260681574429</v>
      </c>
      <c r="J57" s="35">
        <f>J11/0.385079</f>
        <v>0</v>
      </c>
      <c r="K57" s="35">
        <f>K11/0.385079</f>
        <v>13371.282256368173</v>
      </c>
      <c r="L57" s="35">
        <f>L11/0.385079</f>
        <v>0</v>
      </c>
      <c r="M57" s="34">
        <f>M11/0.2312</f>
        <v>22080.449826989621</v>
      </c>
      <c r="N57" s="34"/>
      <c r="O57" s="34">
        <f>O11/0.2312</f>
        <v>1012.1107266435987</v>
      </c>
      <c r="P57" s="34"/>
      <c r="Q57" s="34">
        <f>Q11/0.2312</f>
        <v>938.58131487889273</v>
      </c>
      <c r="R57" s="34"/>
      <c r="S57" s="34">
        <f>S11/0.2312</f>
        <v>2820.0692041522493</v>
      </c>
      <c r="T57" s="34"/>
      <c r="U57" s="34">
        <f>U11/0.2312</f>
        <v>834.7750865051903</v>
      </c>
      <c r="V57" s="30"/>
    </row>
    <row r="58" spans="1:22" s="1" customFormat="1" ht="10.35" customHeight="1">
      <c r="A58" s="29" t="s">
        <v>14</v>
      </c>
      <c r="B58" s="30"/>
      <c r="C58" s="34">
        <f>C12/0.2598</f>
        <v>11820.631254811395</v>
      </c>
      <c r="D58" s="35"/>
      <c r="E58" s="34">
        <f>E12/0.2598</f>
        <v>12525.01924557352</v>
      </c>
      <c r="F58" s="35"/>
      <c r="G58" s="34">
        <f>G12/0.2598</f>
        <v>74872.979214780615</v>
      </c>
      <c r="H58" s="35"/>
      <c r="I58" s="35">
        <f>I12/0.429902</f>
        <v>13656.60080669548</v>
      </c>
      <c r="J58" s="35">
        <f>J12/0.429902</f>
        <v>0</v>
      </c>
      <c r="K58" s="35">
        <f>K12/0.429902</f>
        <v>13030.87680448102</v>
      </c>
      <c r="L58" s="35">
        <f>L12/0.429902</f>
        <v>0</v>
      </c>
      <c r="M58" s="34">
        <f>M12/0.2598</f>
        <v>22105.46574287914</v>
      </c>
      <c r="N58" s="34"/>
      <c r="O58" s="34">
        <f>O12/0.2598</f>
        <v>981.52424942263292</v>
      </c>
      <c r="P58" s="34"/>
      <c r="Q58" s="34">
        <f>Q12/0.2598</f>
        <v>958.4295612009239</v>
      </c>
      <c r="R58" s="34"/>
      <c r="S58" s="34">
        <f>S12/0.2598</f>
        <v>3187.0669745958435</v>
      </c>
      <c r="T58" s="34"/>
      <c r="U58" s="34">
        <f>U12/0.2598</f>
        <v>866.05080831408782</v>
      </c>
      <c r="V58" s="30"/>
    </row>
    <row r="59" spans="1:22" s="1" customFormat="1" ht="10.35" customHeight="1">
      <c r="A59" s="29" t="s">
        <v>15</v>
      </c>
      <c r="B59" s="30"/>
      <c r="C59" s="34">
        <f>C13/0.2906</f>
        <v>12388.162422573983</v>
      </c>
      <c r="D59" s="35"/>
      <c r="E59" s="34">
        <f>E13/0.2906</f>
        <v>12635.925671025463</v>
      </c>
      <c r="F59" s="35"/>
      <c r="G59" s="34">
        <f>G13/0.2906</f>
        <v>79370.268410185818</v>
      </c>
      <c r="H59" s="35"/>
      <c r="I59" s="35">
        <f>I13/0.4277834</f>
        <v>15683.170501707173</v>
      </c>
      <c r="J59" s="35">
        <f>J13/0.4277834</f>
        <v>0</v>
      </c>
      <c r="K59" s="35">
        <f>K13/0.4277834</f>
        <v>15853.817609565964</v>
      </c>
      <c r="L59" s="35">
        <f>L13/0.4277834</f>
        <v>0</v>
      </c>
      <c r="M59" s="34">
        <f>M13/0.2906</f>
        <v>23165.86373021335</v>
      </c>
      <c r="N59" s="34"/>
      <c r="O59" s="34">
        <f>O13/0.2906</f>
        <v>867.17136958017886</v>
      </c>
      <c r="P59" s="34"/>
      <c r="Q59" s="34">
        <f>Q13/0.2906</f>
        <v>935.99449415003437</v>
      </c>
      <c r="R59" s="34"/>
      <c r="S59" s="34">
        <f>S13/0.2906</f>
        <v>3324.1569167240191</v>
      </c>
      <c r="T59" s="34"/>
      <c r="U59" s="34">
        <f>U13/0.2906</f>
        <v>846.52443220922225</v>
      </c>
      <c r="V59" s="30"/>
    </row>
    <row r="60" spans="1:22" s="1" customFormat="1" ht="10.35" customHeight="1">
      <c r="A60" s="29" t="s">
        <v>16</v>
      </c>
      <c r="B60" s="30"/>
      <c r="C60" s="34">
        <f>C14/0.3182</f>
        <v>12228.158390949089</v>
      </c>
      <c r="D60" s="35"/>
      <c r="E60" s="34">
        <f>E14/0.3182</f>
        <v>12363.293526084224</v>
      </c>
      <c r="F60" s="35"/>
      <c r="G60" s="34">
        <f>G14/0.3182</f>
        <v>80141.420490257704</v>
      </c>
      <c r="H60" s="35"/>
      <c r="I60" s="35">
        <f>I14/0.477834</f>
        <v>14990.561575777363</v>
      </c>
      <c r="J60" s="35">
        <f>J14/0.477834</f>
        <v>0</v>
      </c>
      <c r="K60" s="35">
        <f>K14/0.477834</f>
        <v>17135.657990013267</v>
      </c>
      <c r="L60" s="35">
        <f>L14/0.477834</f>
        <v>0</v>
      </c>
      <c r="M60" s="34">
        <f>M14/0.3182</f>
        <v>23793.211816467632</v>
      </c>
      <c r="N60" s="34"/>
      <c r="O60" s="34">
        <f>O14/0.3182</f>
        <v>829.66687617850414</v>
      </c>
      <c r="P60" s="34"/>
      <c r="Q60" s="34">
        <f>Q14/0.3182</f>
        <v>857.95097423004404</v>
      </c>
      <c r="R60" s="34"/>
      <c r="S60" s="34">
        <f>S14/0.3182</f>
        <v>4236.3293526084226</v>
      </c>
      <c r="T60" s="34"/>
      <c r="U60" s="34">
        <f>U14/0.3182</f>
        <v>873.66436203645515</v>
      </c>
      <c r="V60" s="30"/>
    </row>
    <row r="61" spans="1:22" s="1" customFormat="1" ht="10.35" customHeight="1">
      <c r="A61" s="29" t="s">
        <v>17</v>
      </c>
      <c r="B61" s="30"/>
      <c r="C61" s="34">
        <f>C15/0.3435</f>
        <v>11970.887918486171</v>
      </c>
      <c r="D61" s="35"/>
      <c r="E61" s="34">
        <f>E15/0.3435</f>
        <v>12215.429403202328</v>
      </c>
      <c r="F61" s="35"/>
      <c r="G61" s="34">
        <f>G15/0.3435</f>
        <v>85452.692867540027</v>
      </c>
      <c r="H61" s="35"/>
      <c r="I61" s="35">
        <f>I15/0.5543</f>
        <v>14226.952913584701</v>
      </c>
      <c r="J61" s="35">
        <f>J15/0.5543</f>
        <v>0</v>
      </c>
      <c r="K61" s="35">
        <f>K15/0.5543</f>
        <v>16988.995128991519</v>
      </c>
      <c r="L61" s="35">
        <f>L15/0.5543</f>
        <v>0</v>
      </c>
      <c r="M61" s="34">
        <f>M15/0.3435</f>
        <v>24832.605531295485</v>
      </c>
      <c r="N61" s="34"/>
      <c r="O61" s="34">
        <f>O15/0.3435</f>
        <v>762.73653566229984</v>
      </c>
      <c r="P61" s="34"/>
      <c r="Q61" s="34">
        <f>Q15/0.3435</f>
        <v>917.0305676855894</v>
      </c>
      <c r="R61" s="34"/>
      <c r="S61" s="34">
        <f>S15/0.3435</f>
        <v>5278.0203784570595</v>
      </c>
      <c r="T61" s="34"/>
      <c r="U61" s="34">
        <f>U15/0.3435</f>
        <v>908.29694323144099</v>
      </c>
      <c r="V61" s="30"/>
    </row>
    <row r="62" spans="1:22" s="1" customFormat="1" ht="10.35" customHeight="1">
      <c r="A62" s="29" t="s">
        <v>18</v>
      </c>
      <c r="B62" s="30"/>
      <c r="C62" s="34">
        <f>C16/0.3652</f>
        <v>12209.748083242059</v>
      </c>
      <c r="D62" s="35"/>
      <c r="E62" s="34">
        <f>E16/0.3652</f>
        <v>12390.470974808324</v>
      </c>
      <c r="F62" s="35"/>
      <c r="G62" s="34">
        <f>G16/0.3652</f>
        <v>86872.946330777646</v>
      </c>
      <c r="H62" s="35"/>
      <c r="I62" s="35">
        <f>I16/0.585905</f>
        <v>14765.192309333424</v>
      </c>
      <c r="J62" s="35">
        <f>J16/0.585905</f>
        <v>0</v>
      </c>
      <c r="K62" s="35">
        <f>K16/0.585905</f>
        <v>17294.612607845982</v>
      </c>
      <c r="L62" s="35">
        <f>L16/0.585905</f>
        <v>0</v>
      </c>
      <c r="M62" s="34">
        <f>M16/0.3652</f>
        <v>25457.283680175246</v>
      </c>
      <c r="N62" s="34"/>
      <c r="O62" s="34">
        <f>O16/0.3652</f>
        <v>744.79737130339538</v>
      </c>
      <c r="P62" s="34"/>
      <c r="Q62" s="34">
        <f>Q16/0.3652</f>
        <v>939.21139101861991</v>
      </c>
      <c r="R62" s="34"/>
      <c r="S62" s="34">
        <f>S16/0.3652</f>
        <v>6306.1336254107337</v>
      </c>
      <c r="T62" s="34"/>
      <c r="U62" s="34">
        <f>U16/0.3652</f>
        <v>1024.0963855421687</v>
      </c>
      <c r="V62" s="30"/>
    </row>
    <row r="63" spans="1:22" s="1" customFormat="1" ht="10.35" customHeight="1">
      <c r="A63" s="29" t="s">
        <v>19</v>
      </c>
      <c r="B63" s="30"/>
      <c r="C63" s="34">
        <f>C17/0.3864</f>
        <v>12129.91718426501</v>
      </c>
      <c r="D63" s="35"/>
      <c r="E63" s="34">
        <f>E17/0.3864</f>
        <v>12528.46790890269</v>
      </c>
      <c r="F63" s="35"/>
      <c r="G63" s="34">
        <f>G17/0.3864</f>
        <v>89187.370600414069</v>
      </c>
      <c r="H63" s="35"/>
      <c r="I63" s="35">
        <f>I17/0.608646</f>
        <v>15036.655132868695</v>
      </c>
      <c r="J63" s="35">
        <f>J17/0.608646</f>
        <v>0</v>
      </c>
      <c r="K63" s="35">
        <f>K17/0.608646</f>
        <v>18505.009480059016</v>
      </c>
      <c r="L63" s="35">
        <f>L17/0.608646</f>
        <v>0</v>
      </c>
      <c r="M63" s="34">
        <f>M17/0.3864</f>
        <v>26068.840579710144</v>
      </c>
      <c r="N63" s="34"/>
      <c r="O63" s="34">
        <f>O17/0.3864</f>
        <v>716.87370600414079</v>
      </c>
      <c r="P63" s="34"/>
      <c r="Q63" s="34">
        <f>Q17/0.3864</f>
        <v>934.26501035196679</v>
      </c>
      <c r="R63" s="34"/>
      <c r="S63" s="34">
        <f>S17/0.3864</f>
        <v>6708.0745341614902</v>
      </c>
      <c r="T63" s="34"/>
      <c r="U63" s="34">
        <f>U17/0.3864</f>
        <v>1081.7805383022774</v>
      </c>
      <c r="V63" s="30"/>
    </row>
    <row r="64" spans="1:22" s="1" customFormat="1" ht="10.35" customHeight="1">
      <c r="A64" s="29" t="s">
        <v>20</v>
      </c>
      <c r="B64" s="30"/>
      <c r="C64" s="34">
        <f>C18/0.4111</f>
        <v>12099.245925565556</v>
      </c>
      <c r="D64" s="35"/>
      <c r="E64" s="34">
        <f>E18/0.4111</f>
        <v>12792.50790561907</v>
      </c>
      <c r="F64" s="35"/>
      <c r="G64" s="34">
        <f>G18/0.4111</f>
        <v>89401.605448795905</v>
      </c>
      <c r="H64" s="35"/>
      <c r="I64" s="35">
        <f>I18/0.634799</f>
        <v>15088.240529679473</v>
      </c>
      <c r="J64" s="35">
        <f>J18/0.634799</f>
        <v>0</v>
      </c>
      <c r="K64" s="35">
        <f>K18/0.634799</f>
        <v>18638.970760823504</v>
      </c>
      <c r="L64" s="35">
        <f>L18/0.634799</f>
        <v>0</v>
      </c>
      <c r="M64" s="34">
        <f>M18/0.4111</f>
        <v>25675.018243736315</v>
      </c>
      <c r="N64" s="34"/>
      <c r="O64" s="34">
        <f>O18/0.4111</f>
        <v>707.85696910727313</v>
      </c>
      <c r="P64" s="34"/>
      <c r="Q64" s="34">
        <f>Q18/0.4111</f>
        <v>972.99927025054728</v>
      </c>
      <c r="R64" s="34"/>
      <c r="S64" s="34">
        <f>S18/0.4111</f>
        <v>7236.6820724884456</v>
      </c>
      <c r="T64" s="34"/>
      <c r="U64" s="34">
        <f>U18/0.4111</f>
        <v>1087.3266845049866</v>
      </c>
      <c r="V64" s="30"/>
    </row>
    <row r="65" spans="1:22" s="1" customFormat="1" ht="10.35" customHeight="1">
      <c r="A65" s="29" t="s">
        <v>21</v>
      </c>
      <c r="B65" s="30"/>
      <c r="C65" s="34">
        <f>C19/0.4411</f>
        <v>12087.961913398323</v>
      </c>
      <c r="D65" s="35"/>
      <c r="E65" s="34">
        <f>E19/0.4411</f>
        <v>12473.362049421899</v>
      </c>
      <c r="F65" s="35"/>
      <c r="G65" s="34">
        <f>G19/0.4411</f>
        <v>92745.409204262076</v>
      </c>
      <c r="H65" s="35"/>
      <c r="I65" s="35">
        <f>I19/0.678796</f>
        <v>15032.498718318906</v>
      </c>
      <c r="J65" s="35">
        <f>J19/0.678796</f>
        <v>0</v>
      </c>
      <c r="K65" s="35">
        <f>K19/0.678796</f>
        <v>18980.665767034574</v>
      </c>
      <c r="L65" s="35">
        <f>L19/0.678796</f>
        <v>0</v>
      </c>
      <c r="M65" s="34">
        <f>M19/0.4411</f>
        <v>25776.467921106327</v>
      </c>
      <c r="N65" s="34"/>
      <c r="O65" s="34">
        <f>O19/0.4411</f>
        <v>700.52142371344371</v>
      </c>
      <c r="P65" s="34"/>
      <c r="Q65" s="34">
        <f>Q19/0.4411</f>
        <v>1026.9780095216504</v>
      </c>
      <c r="R65" s="34"/>
      <c r="S65" s="34">
        <f>S19/0.4411</f>
        <v>8542.280661981411</v>
      </c>
      <c r="T65" s="34"/>
      <c r="U65" s="34">
        <f>U19/0.4411</f>
        <v>1106.3250963500341</v>
      </c>
      <c r="V65" s="30"/>
    </row>
    <row r="66" spans="1:22" s="1" customFormat="1" ht="10.35" customHeight="1">
      <c r="A66" s="29" t="s">
        <v>22</v>
      </c>
      <c r="B66" s="30"/>
      <c r="C66" s="34">
        <f>C20/0.4794</f>
        <v>12133.917396745932</v>
      </c>
      <c r="D66" s="35"/>
      <c r="E66" s="34">
        <f>E20/0.4794</f>
        <v>11889.862327909888</v>
      </c>
      <c r="F66" s="35"/>
      <c r="G66" s="34">
        <f>G20/0.4794</f>
        <v>92753.441802252812</v>
      </c>
      <c r="H66" s="35"/>
      <c r="I66" s="35">
        <f>I20/0.735113</f>
        <v>15276.562922979188</v>
      </c>
      <c r="J66" s="35">
        <f>J20/0.735113</f>
        <v>0</v>
      </c>
      <c r="K66" s="35">
        <f>K20/0.735113</f>
        <v>19326.280449400296</v>
      </c>
      <c r="L66" s="35">
        <f>L20/0.735113</f>
        <v>0</v>
      </c>
      <c r="M66" s="34">
        <f>M20/0.4794</f>
        <v>26186.900292031707</v>
      </c>
      <c r="N66" s="34"/>
      <c r="O66" s="34">
        <f>O20/0.4794</f>
        <v>717.56362119315816</v>
      </c>
      <c r="P66" s="34"/>
      <c r="Q66" s="34">
        <f>Q20/0.4794</f>
        <v>1049.2282019190654</v>
      </c>
      <c r="R66" s="34"/>
      <c r="S66" s="34">
        <f>S20/0.4794</f>
        <v>9288.6942010846888</v>
      </c>
      <c r="T66" s="34"/>
      <c r="U66" s="34">
        <f>U20/0.4794</f>
        <v>1113.8923654568212</v>
      </c>
      <c r="V66" s="30"/>
    </row>
    <row r="67" spans="1:22" s="1" customFormat="1" ht="10.35" customHeight="1">
      <c r="A67" s="29" t="s">
        <v>23</v>
      </c>
      <c r="B67" s="30"/>
      <c r="C67" s="34">
        <f>C21/0.5207</f>
        <v>12605.454196274244</v>
      </c>
      <c r="D67" s="35"/>
      <c r="E67" s="34">
        <f>E21/0.5207</f>
        <v>12899.212598425196</v>
      </c>
      <c r="F67" s="35"/>
      <c r="G67" s="34">
        <f>G21/0.5207</f>
        <v>96489.80218936046</v>
      </c>
      <c r="H67" s="35"/>
      <c r="I67" s="35">
        <f>I21/0.792817</f>
        <v>16122.282948019531</v>
      </c>
      <c r="J67" s="35">
        <f>J21/0.792817</f>
        <v>0</v>
      </c>
      <c r="K67" s="35">
        <f>K21/0.792817</f>
        <v>20137.824996184492</v>
      </c>
      <c r="L67" s="35">
        <f>L21/0.792817</f>
        <v>0</v>
      </c>
      <c r="M67" s="34">
        <f>M21/0.5207</f>
        <v>27274.822354522756</v>
      </c>
      <c r="N67" s="34"/>
      <c r="O67" s="34">
        <f>O21/0.5207</f>
        <v>702.99596696754361</v>
      </c>
      <c r="P67" s="34"/>
      <c r="Q67" s="34">
        <f>Q21/0.5207</f>
        <v>1006.5104666794699</v>
      </c>
      <c r="R67" s="34"/>
      <c r="S67" s="34">
        <f>S21/0.5207</f>
        <v>10086.902246975225</v>
      </c>
      <c r="T67" s="34"/>
      <c r="U67" s="34">
        <f>U21/0.5207</f>
        <v>1184.34799308623</v>
      </c>
      <c r="V67" s="30"/>
    </row>
    <row r="68" spans="1:22" s="1" customFormat="1" ht="10.35" customHeight="1">
      <c r="A68" s="29" t="s">
        <v>24</v>
      </c>
      <c r="B68" s="30"/>
      <c r="C68" s="34">
        <f>C22/0.5629</f>
        <v>12444.022028779535</v>
      </c>
      <c r="D68" s="35"/>
      <c r="E68" s="34">
        <f>E22/0.5629</f>
        <v>13191.543791081898</v>
      </c>
      <c r="F68" s="35"/>
      <c r="G68" s="34">
        <f>G22/0.5629</f>
        <v>93569.568306981702</v>
      </c>
      <c r="H68" s="35"/>
      <c r="I68" s="35">
        <f>I22/0.842134</f>
        <v>15653.684568014116</v>
      </c>
      <c r="J68" s="35">
        <f>J22/0.842134</f>
        <v>0</v>
      </c>
      <c r="K68" s="35">
        <f>K22/0.842134</f>
        <v>19619.134247043818</v>
      </c>
      <c r="L68" s="35">
        <f>L22/0.842134</f>
        <v>0</v>
      </c>
      <c r="M68" s="34">
        <f>M22/0.5629</f>
        <v>28770.651980813647</v>
      </c>
      <c r="N68" s="34"/>
      <c r="O68" s="34">
        <f>O22/0.5629</f>
        <v>720.4121513590336</v>
      </c>
      <c r="P68" s="34"/>
      <c r="Q68" s="34">
        <f>Q22/0.5629</f>
        <v>1061.1831586427431</v>
      </c>
      <c r="R68" s="34"/>
      <c r="S68" s="34">
        <f>S22/0.5629</f>
        <v>9997.0509859655358</v>
      </c>
      <c r="T68" s="34"/>
      <c r="U68" s="34">
        <f>U22/0.5629</f>
        <v>1242.9561200923788</v>
      </c>
      <c r="V68" s="30"/>
    </row>
    <row r="69" spans="1:22" s="1" customFormat="1" ht="10.35" customHeight="1">
      <c r="A69" s="29" t="s">
        <v>25</v>
      </c>
      <c r="B69" s="30"/>
      <c r="C69" s="34">
        <f>C23/0.6028</f>
        <v>12571.333775713338</v>
      </c>
      <c r="D69" s="35"/>
      <c r="E69" s="34">
        <f>E23/0.6028</f>
        <v>13792.302587923026</v>
      </c>
      <c r="F69" s="35"/>
      <c r="G69" s="34">
        <f>G23/0.6028</f>
        <v>95844.392833443926</v>
      </c>
      <c r="H69" s="35"/>
      <c r="I69" s="35">
        <f>I23/0.892113</f>
        <v>14866.950711400908</v>
      </c>
      <c r="J69" s="35">
        <f>J23/0.892113</f>
        <v>0</v>
      </c>
      <c r="K69" s="35">
        <f>K23/0.892113</f>
        <v>20171.211494507981</v>
      </c>
      <c r="L69" s="35">
        <f>L23/0.892113</f>
        <v>0</v>
      </c>
      <c r="M69" s="34">
        <f>M23/0.6028</f>
        <v>29110.816191108162</v>
      </c>
      <c r="N69" s="34"/>
      <c r="O69" s="34">
        <f>O23/0.6028</f>
        <v>749.83410749834104</v>
      </c>
      <c r="P69" s="34"/>
      <c r="Q69" s="34">
        <f>Q23/0.6028</f>
        <v>1091.5726609157266</v>
      </c>
      <c r="R69" s="34"/>
      <c r="S69" s="34">
        <f>S23/0.6028</f>
        <v>10217.319177173191</v>
      </c>
      <c r="T69" s="34"/>
      <c r="U69" s="34">
        <f>U23/0.6028</f>
        <v>1327.1400132714002</v>
      </c>
      <c r="V69" s="30"/>
    </row>
    <row r="70" spans="1:22" s="1" customFormat="1" ht="10.35" customHeight="1">
      <c r="A70" s="29" t="s">
        <v>26</v>
      </c>
      <c r="B70" s="30"/>
      <c r="C70" s="34">
        <f>C24/0.6387</f>
        <v>12065.132299984341</v>
      </c>
      <c r="D70" s="35"/>
      <c r="E70" s="34">
        <f>E24/0.6387</f>
        <v>13345.858775638013</v>
      </c>
      <c r="F70" s="35"/>
      <c r="G70" s="34">
        <f>G24/0.6387</f>
        <v>92669.484891185217</v>
      </c>
      <c r="H70" s="35"/>
      <c r="I70" s="35">
        <f>I24/0.944651</f>
        <v>0</v>
      </c>
      <c r="J70" s="35">
        <f>J24/0.944651</f>
        <v>0</v>
      </c>
      <c r="K70" s="35">
        <f>K24/0.944651</f>
        <v>0</v>
      </c>
      <c r="L70" s="35">
        <f>L24/0.944651</f>
        <v>0</v>
      </c>
      <c r="M70" s="34">
        <f>M24/0.6387</f>
        <v>28916.549240645058</v>
      </c>
      <c r="N70" s="34"/>
      <c r="O70" s="34">
        <f>O24/0.6387</f>
        <v>723.34429309534983</v>
      </c>
      <c r="P70" s="34"/>
      <c r="Q70" s="34">
        <f>Q24/0.6387</f>
        <v>1121.0270862689838</v>
      </c>
      <c r="R70" s="34"/>
      <c r="S70" s="34">
        <f>S24/0.6387</f>
        <v>10092.375136997025</v>
      </c>
      <c r="T70" s="34"/>
      <c r="U70" s="34">
        <f>U24/0.6387</f>
        <v>1357.4448097698448</v>
      </c>
      <c r="V70" s="30"/>
    </row>
    <row r="71" spans="1:22" s="1" customFormat="1" ht="10.35" customHeight="1">
      <c r="A71" s="29" t="s">
        <v>29</v>
      </c>
      <c r="B71" s="30"/>
      <c r="C71" s="34">
        <f>C25/0.6652</f>
        <v>11650.631389055923</v>
      </c>
      <c r="D71" s="35"/>
      <c r="E71" s="34">
        <f>E25/0.6652</f>
        <v>13275.706554419723</v>
      </c>
      <c r="F71" s="35"/>
      <c r="G71" s="34">
        <f>G25/0.6652</f>
        <v>79294.948887552615</v>
      </c>
      <c r="H71" s="35"/>
      <c r="I71" s="35">
        <f>I25/0.989479</f>
        <v>0</v>
      </c>
      <c r="J71" s="35">
        <f>J25/0.989479</f>
        <v>0</v>
      </c>
      <c r="K71" s="35">
        <f>K25/0.989479</f>
        <v>0</v>
      </c>
      <c r="L71" s="35">
        <f>L25/0.989479</f>
        <v>0</v>
      </c>
      <c r="M71" s="34">
        <f>M25/0.6652</f>
        <v>28761.274804570054</v>
      </c>
      <c r="N71" s="34"/>
      <c r="O71" s="34">
        <f>O25/0.6652</f>
        <v>699.03788334335536</v>
      </c>
      <c r="P71" s="34"/>
      <c r="Q71" s="34">
        <f>Q25/0.6652</f>
        <v>1065.8448586891161</v>
      </c>
      <c r="R71" s="34"/>
      <c r="S71" s="34">
        <f>S25/0.6652</f>
        <v>10841.85207456404</v>
      </c>
      <c r="T71" s="34"/>
      <c r="U71" s="34">
        <f>U25/0.6652</f>
        <v>1407.0956103427541</v>
      </c>
      <c r="V71" s="30"/>
    </row>
    <row r="72" spans="1:22" s="1" customFormat="1" ht="10.35" customHeight="1">
      <c r="A72" s="18">
        <v>1995</v>
      </c>
      <c r="B72" s="30"/>
      <c r="C72" s="34">
        <f>C26/0.6909</f>
        <v>12208.71327254306</v>
      </c>
      <c r="D72" s="35"/>
      <c r="E72" s="34">
        <f>E26/0.6909</f>
        <v>13486.756404689537</v>
      </c>
      <c r="F72" s="35"/>
      <c r="G72" s="34">
        <f>G26/0.6909</f>
        <v>103615.57388913013</v>
      </c>
      <c r="H72" s="35"/>
      <c r="I72" s="35"/>
      <c r="J72" s="35"/>
      <c r="K72" s="35"/>
      <c r="L72" s="35"/>
      <c r="M72" s="34">
        <f>M26/0.6909</f>
        <v>28677.087856419166</v>
      </c>
      <c r="N72" s="34"/>
      <c r="O72" s="34">
        <f>O26/0.6909</f>
        <v>696.19337096540744</v>
      </c>
      <c r="P72" s="34"/>
      <c r="Q72" s="34">
        <f>Q26/0.6909</f>
        <v>1071.0667245621653</v>
      </c>
      <c r="R72" s="34"/>
      <c r="S72" s="34">
        <f>S26/0.6909</f>
        <v>11516.862063974526</v>
      </c>
      <c r="T72" s="34"/>
      <c r="U72" s="34">
        <f>U26/0.6909</f>
        <v>1518.3094514401507</v>
      </c>
      <c r="V72" s="35"/>
    </row>
    <row r="73" spans="1:22" s="1" customFormat="1" ht="10.35" customHeight="1">
      <c r="A73" s="36">
        <v>1996</v>
      </c>
      <c r="B73" s="30"/>
      <c r="C73" s="34">
        <f>C27/0.7088</f>
        <v>11807.279909706547</v>
      </c>
      <c r="D73" s="35"/>
      <c r="E73" s="34">
        <f>E27/0.7088</f>
        <v>12734.198645598195</v>
      </c>
      <c r="F73" s="35"/>
      <c r="G73" s="34">
        <f>G27/0.7088</f>
        <v>98391.647855530478</v>
      </c>
      <c r="H73" s="35"/>
      <c r="I73" s="35"/>
      <c r="J73" s="35"/>
      <c r="K73" s="35"/>
      <c r="L73" s="35"/>
      <c r="M73" s="34">
        <f>M27/0.7088</f>
        <v>29252.257336343115</v>
      </c>
      <c r="N73" s="34"/>
      <c r="O73" s="34">
        <f>O27/0.7088</f>
        <v>692.72009029345372</v>
      </c>
      <c r="P73" s="34"/>
      <c r="Q73" s="34">
        <f>Q27/0.7088</f>
        <v>1073.645598194131</v>
      </c>
      <c r="R73" s="34"/>
      <c r="S73" s="34">
        <f>S27/0.7088</f>
        <v>12940.180586907449</v>
      </c>
      <c r="T73" s="34"/>
      <c r="U73" s="34">
        <f>U27/0.7088</f>
        <v>1645.0338600451469</v>
      </c>
      <c r="V73" s="35"/>
    </row>
    <row r="74" spans="1:22" s="1" customFormat="1" ht="10.35" customHeight="1">
      <c r="A74" s="36">
        <v>1997</v>
      </c>
      <c r="B74" s="30"/>
      <c r="C74" s="34">
        <f>C28/0.7241</f>
        <v>12196.798399936606</v>
      </c>
      <c r="D74" s="35"/>
      <c r="E74" s="34">
        <f>E28/0.7241</f>
        <v>11838.143902775861</v>
      </c>
      <c r="F74" s="35"/>
      <c r="G74" s="34">
        <f>G28/0.7241</f>
        <v>101742.85319707223</v>
      </c>
      <c r="H74" s="35"/>
      <c r="I74" s="35"/>
      <c r="J74" s="35"/>
      <c r="K74" s="35"/>
      <c r="L74" s="35"/>
      <c r="M74" s="34">
        <f>M28/0.7241</f>
        <v>29049.854992404365</v>
      </c>
      <c r="N74" s="34"/>
      <c r="O74" s="34">
        <f>O28/0.7241</f>
        <v>693.27440961193213</v>
      </c>
      <c r="P74" s="34"/>
      <c r="Q74" s="34">
        <f>Q28/0.7241</f>
        <v>1107.5818257146802</v>
      </c>
      <c r="R74" s="34"/>
      <c r="S74" s="34">
        <f>S28/0.7241</f>
        <v>13028.58721171109</v>
      </c>
      <c r="T74" s="34"/>
      <c r="U74" s="34">
        <f>U28/0.7241</f>
        <v>1904.4330893522995</v>
      </c>
      <c r="V74" s="35"/>
    </row>
    <row r="75" spans="1:22" s="1" customFormat="1" ht="10.35" customHeight="1">
      <c r="A75" s="36">
        <v>1998</v>
      </c>
      <c r="B75" s="30"/>
      <c r="C75" s="34">
        <f>C29/0.7367</f>
        <v>12347.094870638723</v>
      </c>
      <c r="D75" s="35"/>
      <c r="E75" s="34">
        <f>E29/0.7367</f>
        <v>11563.389288094761</v>
      </c>
      <c r="F75" s="35"/>
      <c r="G75" s="34">
        <f>G29/0.7367</f>
        <v>102917.31644820388</v>
      </c>
      <c r="H75" s="35"/>
      <c r="I75" s="35"/>
      <c r="J75" s="35"/>
      <c r="K75" s="35"/>
      <c r="L75" s="35"/>
      <c r="M75" s="34">
        <f>M29/0.7367</f>
        <v>28321.136710248738</v>
      </c>
      <c r="N75" s="34"/>
      <c r="O75" s="34">
        <f>O29/0.7367</f>
        <v>653.58954516785161</v>
      </c>
      <c r="P75" s="34"/>
      <c r="Q75" s="34">
        <f>Q29/0.7367</f>
        <v>1123.513432293171</v>
      </c>
      <c r="R75" s="34"/>
      <c r="S75" s="34">
        <f>S29/0.7367</f>
        <v>4358.3265628191411</v>
      </c>
      <c r="T75" s="34"/>
      <c r="U75" s="34">
        <f>U29/0.7367</f>
        <v>2206.406529103152</v>
      </c>
      <c r="V75" s="35"/>
    </row>
    <row r="76" spans="1:22" s="1" customFormat="1" ht="10.35" customHeight="1">
      <c r="A76" s="36">
        <v>1999</v>
      </c>
      <c r="B76" s="30"/>
      <c r="C76" s="34">
        <f>C30/0.7527</f>
        <v>13061.740538483948</v>
      </c>
      <c r="D76" s="35"/>
      <c r="E76" s="34">
        <f>E30/0.7527</f>
        <v>11229.062212000028</v>
      </c>
      <c r="F76" s="35"/>
      <c r="G76" s="34">
        <f>G30/0.7527</f>
        <v>102785.67741695036</v>
      </c>
      <c r="H76" s="35"/>
      <c r="I76" s="35"/>
      <c r="J76" s="35"/>
      <c r="K76" s="35"/>
      <c r="L76" s="35"/>
      <c r="M76" s="34">
        <f>M30/0.7527</f>
        <v>34507.358165261787</v>
      </c>
      <c r="N76" s="34"/>
      <c r="O76" s="34">
        <f>O30/0.7527</f>
        <v>698.96239039275849</v>
      </c>
      <c r="P76" s="34"/>
      <c r="Q76" s="34">
        <f>Q30/0.7527</f>
        <v>1140.1131000157604</v>
      </c>
      <c r="R76" s="34"/>
      <c r="S76" s="34">
        <f>S30/0.7527</f>
        <v>7172.1718913840632</v>
      </c>
      <c r="T76" s="34"/>
      <c r="U76" s="34">
        <f>U30/0.7527</f>
        <v>2582.378198011008</v>
      </c>
      <c r="V76" s="35"/>
    </row>
    <row r="77" spans="1:22" s="1" customFormat="1" ht="10.35" customHeight="1">
      <c r="A77" s="36">
        <v>2000</v>
      </c>
      <c r="B77" s="28"/>
      <c r="C77" s="37">
        <f>C31/0.7722</f>
        <v>13674.291474934947</v>
      </c>
      <c r="D77" s="38"/>
      <c r="E77" s="37">
        <f>E31/0.7722</f>
        <v>10980.549027424155</v>
      </c>
      <c r="F77" s="38"/>
      <c r="G77" s="37">
        <f>G31/0.7722</f>
        <v>103851.33874764257</v>
      </c>
      <c r="H77" s="38"/>
      <c r="I77" s="38"/>
      <c r="J77" s="38"/>
      <c r="K77" s="38"/>
      <c r="L77" s="38"/>
      <c r="M77" s="37">
        <f>M31/0.7722</f>
        <v>34388.433413657047</v>
      </c>
      <c r="N77" s="37"/>
      <c r="O77" s="37">
        <f>O31/0.7722</f>
        <v>692.04112053088124</v>
      </c>
      <c r="P77" s="37"/>
      <c r="Q77" s="37">
        <f>Q31/0.7722</f>
        <v>1199.6579993858288</v>
      </c>
      <c r="R77" s="37"/>
      <c r="S77" s="37">
        <f>S31/0.7722</f>
        <v>6544.340550313058</v>
      </c>
      <c r="T77" s="37"/>
      <c r="U77" s="37">
        <f>U31/0.7722</f>
        <v>2996.7663039397326</v>
      </c>
      <c r="V77" s="38"/>
    </row>
    <row r="78" spans="1:22" s="1" customFormat="1" ht="10.35" customHeight="1">
      <c r="A78" s="36">
        <v>2001</v>
      </c>
      <c r="B78" s="28"/>
      <c r="C78" s="37">
        <f>C32/0.7982</f>
        <v>14169.980486244802</v>
      </c>
      <c r="D78" s="38"/>
      <c r="E78" s="37">
        <f>E32/0.7982</f>
        <v>11352.857818411467</v>
      </c>
      <c r="F78" s="38"/>
      <c r="G78" s="37">
        <f>G32/0.7982</f>
        <v>105973.2432284823</v>
      </c>
      <c r="H78" s="38"/>
      <c r="I78" s="38"/>
      <c r="J78" s="38"/>
      <c r="K78" s="38"/>
      <c r="L78" s="38"/>
      <c r="M78" s="37">
        <f>M32/0.7982</f>
        <v>35305.381389182607</v>
      </c>
      <c r="N78" s="37"/>
      <c r="O78" s="37">
        <f>O32/0.7982</f>
        <v>708.30682179750556</v>
      </c>
      <c r="P78" s="37"/>
      <c r="Q78" s="37">
        <f>Q32/0.7982</f>
        <v>1181.2483368139863</v>
      </c>
      <c r="R78" s="37"/>
      <c r="S78" s="37">
        <f>S32/0.7982</f>
        <v>6992.9371989354422</v>
      </c>
      <c r="T78" s="37"/>
      <c r="U78" s="37">
        <f>U32/0.7982</f>
        <v>3274.4002608126748</v>
      </c>
      <c r="V78" s="38"/>
    </row>
    <row r="79" spans="1:22" s="39" customFormat="1" ht="10.35" customHeight="1">
      <c r="A79" s="36">
        <v>2002</v>
      </c>
      <c r="B79" s="28"/>
      <c r="C79" s="37">
        <f>C33/0.8194</f>
        <v>15224.94176098547</v>
      </c>
      <c r="D79" s="38"/>
      <c r="E79" s="37">
        <f>E33/0.8194</f>
        <v>11538.171833419907</v>
      </c>
      <c r="F79" s="38"/>
      <c r="G79" s="37">
        <f>G33/0.8194</f>
        <v>113240.3260752834</v>
      </c>
      <c r="H79" s="38"/>
      <c r="I79" s="38"/>
      <c r="J79" s="38"/>
      <c r="K79" s="38"/>
      <c r="L79" s="38"/>
      <c r="M79" s="37">
        <f>M33/0.8194</f>
        <v>33885.302847186096</v>
      </c>
      <c r="N79" s="37"/>
      <c r="O79" s="37">
        <f>O33/0.8194</f>
        <v>724.18984007767813</v>
      </c>
      <c r="P79" s="37"/>
      <c r="Q79" s="37">
        <f>Q33/0.8194</f>
        <v>1205.8975794934324</v>
      </c>
      <c r="R79" s="37"/>
      <c r="S79" s="37">
        <f>S33/0.8194</f>
        <v>6971.9175327553121</v>
      </c>
      <c r="T79" s="37"/>
      <c r="U79" s="37">
        <f>U33/0.8194</f>
        <v>3479.6107403906199</v>
      </c>
      <c r="V79" s="38"/>
    </row>
    <row r="80" spans="1:22" s="39" customFormat="1" ht="10.35" customHeight="1">
      <c r="A80" s="36">
        <v>2003</v>
      </c>
      <c r="B80" s="28"/>
      <c r="C80" s="37">
        <f>C34/0.8485</f>
        <v>15678.085566807862</v>
      </c>
      <c r="D80" s="38"/>
      <c r="E80" s="37">
        <f>E34/0.8485</f>
        <v>11609.364690854047</v>
      </c>
      <c r="F80" s="38"/>
      <c r="G80" s="37">
        <f>G34/0.8485</f>
        <v>114900.43556402983</v>
      </c>
      <c r="H80" s="38"/>
      <c r="I80" s="38"/>
      <c r="J80" s="38"/>
      <c r="K80" s="38"/>
      <c r="L80" s="38"/>
      <c r="M80" s="37">
        <f>M34/0.8485</f>
        <v>34294.778397549082</v>
      </c>
      <c r="N80" s="37"/>
      <c r="O80" s="37">
        <f>O34/0.8485</f>
        <v>737.59639010698083</v>
      </c>
      <c r="P80" s="37"/>
      <c r="Q80" s="37">
        <f>Q34/0.8485</f>
        <v>1211.5538948942478</v>
      </c>
      <c r="R80" s="37"/>
      <c r="S80" s="37">
        <f>S34/0.8485</f>
        <v>7189.8282609663265</v>
      </c>
      <c r="T80" s="37"/>
      <c r="U80" s="37">
        <f>U34/0.8485</f>
        <v>3776.6029002404753</v>
      </c>
      <c r="V80" s="38"/>
    </row>
    <row r="81" spans="1:22" s="39" customFormat="1" ht="10.35" customHeight="1">
      <c r="A81" s="36">
        <v>2004</v>
      </c>
      <c r="B81" s="28"/>
      <c r="C81" s="37">
        <f>C35/0.8814</f>
        <v>15963.307696726717</v>
      </c>
      <c r="D81" s="38"/>
      <c r="E81" s="37">
        <f>E35/0.8814</f>
        <v>11875.640524818249</v>
      </c>
      <c r="F81" s="38"/>
      <c r="G81" s="37">
        <f>G35/0.8814</f>
        <v>115786.43752037494</v>
      </c>
      <c r="H81" s="38"/>
      <c r="I81" s="38"/>
      <c r="J81" s="38"/>
      <c r="K81" s="38"/>
      <c r="L81" s="38"/>
      <c r="M81" s="37">
        <f>M35/0.8814</f>
        <v>33909.433946409328</v>
      </c>
      <c r="N81" s="37"/>
      <c r="O81" s="37">
        <f>O35/0.8814</f>
        <v>753.00206816982791</v>
      </c>
      <c r="P81" s="37"/>
      <c r="Q81" s="37">
        <f>Q35/0.8814</f>
        <v>1259.8721653359846</v>
      </c>
      <c r="R81" s="37"/>
      <c r="S81" s="37">
        <f>S35/0.8814</f>
        <v>7057.0066361756099</v>
      </c>
      <c r="T81" s="37"/>
      <c r="U81" s="37">
        <f>U35/0.8814</f>
        <v>4087.545407582822</v>
      </c>
      <c r="V81" s="38"/>
    </row>
    <row r="82" spans="1:22" s="39" customFormat="1" ht="10.35" customHeight="1">
      <c r="A82" s="36">
        <v>2005</v>
      </c>
      <c r="B82" s="28"/>
      <c r="C82" s="37">
        <f>C36/0.9089</f>
        <v>15992.541807274181</v>
      </c>
      <c r="D82" s="38"/>
      <c r="E82" s="37">
        <f>E36/0.9089</f>
        <v>11914.163257548767</v>
      </c>
      <c r="F82" s="38"/>
      <c r="G82" s="37">
        <f>G36/0.9089</f>
        <v>120672.84267178237</v>
      </c>
      <c r="H82" s="38"/>
      <c r="I82" s="38"/>
      <c r="J82" s="38"/>
      <c r="K82" s="38"/>
      <c r="L82" s="38"/>
      <c r="M82" s="37">
        <f>M36/0.9089</f>
        <v>34169.209268330902</v>
      </c>
      <c r="N82" s="37"/>
      <c r="O82" s="37">
        <f>O36/0.9089</f>
        <v>826.1395232996432</v>
      </c>
      <c r="P82" s="37"/>
      <c r="Q82" s="37">
        <f>Q36/0.9089</f>
        <v>1168.8695164353071</v>
      </c>
      <c r="R82" s="37"/>
      <c r="S82" s="37">
        <f>S36/0.9089</f>
        <v>7837.041955546897</v>
      </c>
      <c r="T82" s="37"/>
      <c r="U82" s="37">
        <f>U36/0.9089</f>
        <v>4174.9801634538771</v>
      </c>
      <c r="V82" s="38"/>
    </row>
    <row r="83" spans="1:22" s="39" customFormat="1" ht="10.35" customHeight="1">
      <c r="A83" s="36">
        <v>2006</v>
      </c>
      <c r="B83" s="28"/>
      <c r="C83" s="37">
        <f>C37/0.9376</f>
        <v>14827.731379716293</v>
      </c>
      <c r="D83" s="38"/>
      <c r="E83" s="37">
        <f>E37/0.9376</f>
        <v>11655.804035013167</v>
      </c>
      <c r="F83" s="38"/>
      <c r="G83" s="37">
        <f>G37/0.9376</f>
        <v>121093.34692000753</v>
      </c>
      <c r="H83" s="38"/>
      <c r="I83" s="38"/>
      <c r="J83" s="38"/>
      <c r="K83" s="38"/>
      <c r="L83" s="38"/>
      <c r="M83" s="37">
        <f>M37/0.9376</f>
        <v>34111.736654240449</v>
      </c>
      <c r="N83" s="37"/>
      <c r="O83" s="37">
        <f>O37/0.9376</f>
        <v>772.56174246464138</v>
      </c>
      <c r="P83" s="37"/>
      <c r="Q83" s="37">
        <f>Q37/0.9376</f>
        <v>1173.0857150733068</v>
      </c>
      <c r="R83" s="37"/>
      <c r="S83" s="37">
        <f>S37/0.9376</f>
        <v>8045.1730301501921</v>
      </c>
      <c r="T83" s="37"/>
      <c r="U83" s="37">
        <f>U37/0.9376</f>
        <v>2823.1771328939794</v>
      </c>
      <c r="V83" s="38"/>
    </row>
    <row r="84" spans="1:22" s="39" customFormat="1" ht="10.35" customHeight="1">
      <c r="A84" s="36">
        <v>2007</v>
      </c>
      <c r="B84" s="28"/>
      <c r="C84" s="37">
        <f>C38/0.9701</f>
        <v>14631.597831687346</v>
      </c>
      <c r="D84" s="38"/>
      <c r="E84" s="37">
        <f>E38/0.9701</f>
        <v>12612.318925750829</v>
      </c>
      <c r="F84" s="38"/>
      <c r="G84" s="37">
        <f>G38/0.9701</f>
        <v>120100.01779611557</v>
      </c>
      <c r="H84" s="38"/>
      <c r="I84" s="38"/>
      <c r="J84" s="38"/>
      <c r="K84" s="38"/>
      <c r="L84" s="38"/>
      <c r="M84" s="37">
        <f>M38/0.9701</f>
        <v>34505.9118738373</v>
      </c>
      <c r="N84" s="37"/>
      <c r="O84" s="37">
        <f>O38/0.9701</f>
        <v>752.29636196292836</v>
      </c>
      <c r="P84" s="37"/>
      <c r="Q84" s="37">
        <f>Q38/0.9701</f>
        <v>1177.8194096246216</v>
      </c>
      <c r="R84" s="37"/>
      <c r="S84" s="37">
        <f>S38/0.9701</f>
        <v>8164.2540113850528</v>
      </c>
      <c r="T84" s="37"/>
      <c r="U84" s="37">
        <f>U38/0.9701</f>
        <v>2695.1479526869302</v>
      </c>
      <c r="V84" s="38"/>
    </row>
    <row r="85" spans="1:22" s="39" customFormat="1" ht="10.35" customHeight="1">
      <c r="A85" s="40">
        <v>2008</v>
      </c>
      <c r="B85" s="41"/>
      <c r="C85" s="42">
        <f>C39/1</f>
        <v>14842.719467123759</v>
      </c>
      <c r="D85" s="43"/>
      <c r="E85" s="42">
        <f>E39/1</f>
        <v>12402.515559309833</v>
      </c>
      <c r="F85" s="43"/>
      <c r="G85" s="42">
        <f>G39/1</f>
        <v>126644.26388751362</v>
      </c>
      <c r="H85" s="43"/>
      <c r="I85" s="43"/>
      <c r="J85" s="43"/>
      <c r="K85" s="43"/>
      <c r="L85" s="43"/>
      <c r="M85" s="42">
        <f>M39/1</f>
        <v>35074.5122793958</v>
      </c>
      <c r="N85" s="42"/>
      <c r="O85" s="42">
        <f>O39/1</f>
        <v>767.89229575973457</v>
      </c>
      <c r="P85" s="42"/>
      <c r="Q85" s="42">
        <f>Q39/1</f>
        <v>1216.544835673204</v>
      </c>
      <c r="R85" s="42"/>
      <c r="S85" s="42">
        <f>S39/1</f>
        <v>8440.1298171653762</v>
      </c>
      <c r="T85" s="42"/>
      <c r="U85" s="42">
        <f>U39/1</f>
        <v>2730.2661984081019</v>
      </c>
      <c r="V85" s="43"/>
    </row>
    <row r="86" spans="1:22" s="44" customFormat="1" ht="9.9499999999999993" customHeight="1">
      <c r="A86" s="7" t="s">
        <v>34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55"/>
      <c r="V86" s="8"/>
    </row>
    <row r="87" spans="1:22" s="44" customFormat="1" ht="9" customHeight="1">
      <c r="A87" s="61" t="s">
        <v>35</v>
      </c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</row>
    <row r="88" spans="1:22" s="44" customFormat="1" ht="9.6" customHeight="1">
      <c r="A88" s="9" t="s">
        <v>36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</row>
    <row r="89" spans="1:22" s="44" customFormat="1" ht="9" customHeight="1">
      <c r="A89" s="11" t="s">
        <v>37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1:22" s="44" customFormat="1" ht="9" customHeight="1">
      <c r="A90" s="11" t="s">
        <v>38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1:22" s="44" customFormat="1" ht="9" customHeight="1">
      <c r="A91" s="11" t="s">
        <v>39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</row>
    <row r="92" spans="1:22" s="44" customFormat="1" ht="9.6" customHeight="1">
      <c r="A92" s="7" t="s">
        <v>40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1:22" s="44" customFormat="1" ht="9" customHeight="1">
      <c r="A93" s="11" t="s">
        <v>41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</row>
    <row r="94" spans="1:22" s="44" customFormat="1" ht="9" customHeight="1">
      <c r="A94" s="12" t="s">
        <v>42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1:22" s="44" customFormat="1" ht="9" customHeight="1">
      <c r="A95" s="12" t="s">
        <v>43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96" spans="1:22" s="44" customFormat="1" ht="3" customHeight="1">
      <c r="A96" s="11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1:22" s="44" customFormat="1" ht="9" customHeight="1">
      <c r="A97" s="13" t="s">
        <v>54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</row>
    <row r="98" spans="1:22" s="44" customFormat="1" ht="9" customHeight="1">
      <c r="A98" s="12" t="s">
        <v>61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</row>
    <row r="99" spans="1:22" s="44" customFormat="1" ht="8.4499999999999993" customHeight="1">
      <c r="A99" s="12" t="s">
        <v>62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</row>
    <row r="100" spans="1:22" s="44" customFormat="1" ht="8.4499999999999993" customHeight="1">
      <c r="A100" s="60" t="s">
        <v>63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</row>
    <row r="101" spans="1:22" s="44" customFormat="1" ht="8.4499999999999993" customHeight="1">
      <c r="A101" s="60" t="s">
        <v>64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</row>
    <row r="102" spans="1:22" s="44" customFormat="1" ht="8.4499999999999993" customHeight="1">
      <c r="A102" s="60" t="s">
        <v>65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22" s="44" customFormat="1" ht="8.4499999999999993" customHeight="1">
      <c r="A103" s="60" t="s">
        <v>66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22" s="44" customFormat="1" ht="8.4499999999999993" customHeight="1">
      <c r="A104" s="60" t="s">
        <v>67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</row>
    <row r="105" spans="1:22" s="44" customFormat="1" ht="8.4499999999999993" customHeight="1">
      <c r="A105" s="12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</row>
    <row r="106" spans="1:22" s="2" customFormat="1" ht="9" customHeight="1">
      <c r="A106" s="14" t="s">
        <v>44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8"/>
      <c r="N106" s="8"/>
      <c r="O106" s="8"/>
      <c r="P106" s="8"/>
      <c r="Q106" s="8"/>
      <c r="R106" s="8"/>
      <c r="S106" s="8"/>
      <c r="T106" s="8"/>
      <c r="U106" s="8"/>
      <c r="V106" s="8"/>
    </row>
    <row r="107" spans="1:22" s="2" customFormat="1" ht="9" customHeight="1">
      <c r="A107" s="12" t="s">
        <v>45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8"/>
      <c r="N107" s="8"/>
      <c r="O107" s="8"/>
      <c r="P107" s="8"/>
      <c r="Q107" s="8"/>
      <c r="R107" s="8"/>
      <c r="S107" s="8"/>
      <c r="T107" s="8"/>
      <c r="U107" s="8"/>
      <c r="V107" s="8"/>
    </row>
    <row r="108" spans="1:22" s="2" customFormat="1" ht="9" customHeight="1">
      <c r="A108" s="12" t="s">
        <v>46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8"/>
      <c r="N108" s="8"/>
      <c r="O108" s="8"/>
      <c r="P108" s="8"/>
      <c r="Q108" s="8"/>
      <c r="R108" s="8"/>
      <c r="S108" s="8"/>
      <c r="T108" s="8"/>
      <c r="U108" s="8"/>
      <c r="V108" s="8"/>
    </row>
  </sheetData>
  <mergeCells count="7">
    <mergeCell ref="A47:V47"/>
    <mergeCell ref="A48:V48"/>
    <mergeCell ref="C51:V51"/>
    <mergeCell ref="A1:V1"/>
    <mergeCell ref="A2:V2"/>
    <mergeCell ref="A3:V3"/>
    <mergeCell ref="A46:V46"/>
  </mergeCells>
  <phoneticPr fontId="2" type="noConversion"/>
  <printOptions gridLinesSet="0"/>
  <pageMargins left="0.8" right="0.7" top="1" bottom="0.5" header="0.5" footer="0.5"/>
  <pageSetup firstPageNumber="236" orientation="portrait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TABLE13.16</vt:lpstr>
      <vt:lpstr>TABLE13.16!Print_Area</vt:lpstr>
      <vt:lpstr>Print_Area</vt:lpstr>
      <vt:lpstr>TABLE13.16!Print_Area_MI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2011-05-17T22:10:32Z</cp:lastPrinted>
  <dcterms:created xsi:type="dcterms:W3CDTF">1999-10-08T13:44:35Z</dcterms:created>
  <dcterms:modified xsi:type="dcterms:W3CDTF">2011-05-17T22:15:51Z</dcterms:modified>
</cp:coreProperties>
</file>