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4" sheetId="1" r:id="rId1"/>
  </sheets>
  <definedNames>
    <definedName name="_Regression_Int" localSheetId="0" hidden="1">1</definedName>
    <definedName name="_xlnm.Print_Area" localSheetId="0">TABLE13.14!$A$1:$V$101</definedName>
    <definedName name="_xlnm.Print_Area">TABLE13.14!$A$1:$U$94</definedName>
    <definedName name="Print_Area_MI" localSheetId="0">TABLE13.14!$A$1:$V$94</definedName>
  </definedNames>
  <calcPr calcId="125725"/>
</workbook>
</file>

<file path=xl/calcChain.xml><?xml version="1.0" encoding="utf-8"?>
<calcChain xmlns="http://schemas.openxmlformats.org/spreadsheetml/2006/main">
  <c r="U38" i="1"/>
  <c r="S38"/>
  <c r="Q38"/>
  <c r="O38"/>
  <c r="E38"/>
  <c r="C38"/>
  <c r="U54"/>
  <c r="S54"/>
  <c r="Q54"/>
  <c r="O54"/>
  <c r="E54"/>
  <c r="C54"/>
  <c r="U53"/>
  <c r="S53"/>
  <c r="Q53"/>
  <c r="O53"/>
  <c r="E53"/>
  <c r="C53"/>
  <c r="U52"/>
  <c r="S52"/>
  <c r="Q52"/>
  <c r="O52"/>
  <c r="E52"/>
  <c r="C52"/>
  <c r="U83"/>
  <c r="S83"/>
  <c r="Q83"/>
  <c r="O83"/>
  <c r="E83"/>
  <c r="C83"/>
  <c r="U82"/>
  <c r="S82"/>
  <c r="Q82"/>
  <c r="O82"/>
  <c r="E82"/>
  <c r="C82"/>
  <c r="U81"/>
  <c r="S81"/>
  <c r="Q81"/>
  <c r="O81"/>
  <c r="E81"/>
  <c r="C81"/>
  <c r="U80"/>
  <c r="S80"/>
  <c r="Q80"/>
  <c r="O80"/>
  <c r="E80"/>
  <c r="C80"/>
  <c r="U79"/>
  <c r="S79"/>
  <c r="Q79"/>
  <c r="O79"/>
  <c r="E79"/>
  <c r="C79"/>
  <c r="U78"/>
  <c r="S78"/>
  <c r="Q78"/>
  <c r="O78"/>
  <c r="E78"/>
  <c r="C78"/>
  <c r="U77"/>
  <c r="S77"/>
  <c r="Q77"/>
  <c r="O77"/>
  <c r="E77"/>
  <c r="C77"/>
  <c r="U76"/>
  <c r="S76"/>
  <c r="Q76"/>
  <c r="O76"/>
  <c r="E76"/>
  <c r="C76"/>
  <c r="U75"/>
  <c r="S75"/>
  <c r="Q75"/>
  <c r="O75"/>
  <c r="E75"/>
  <c r="C75"/>
  <c r="U74"/>
  <c r="S74"/>
  <c r="Q74"/>
  <c r="O74"/>
  <c r="E74"/>
  <c r="C74"/>
  <c r="U73"/>
  <c r="S73"/>
  <c r="Q73"/>
  <c r="O73"/>
  <c r="E73"/>
  <c r="C73"/>
  <c r="U72"/>
  <c r="S72"/>
  <c r="Q72"/>
  <c r="O72"/>
  <c r="E72"/>
  <c r="C72"/>
  <c r="U71"/>
  <c r="S71"/>
  <c r="Q71"/>
  <c r="O71"/>
  <c r="E71"/>
  <c r="C71"/>
  <c r="U70"/>
  <c r="S70"/>
  <c r="Q70"/>
  <c r="O70"/>
  <c r="E70"/>
  <c r="C70"/>
  <c r="U69"/>
  <c r="S69"/>
  <c r="Q69"/>
  <c r="O69"/>
  <c r="E69"/>
  <c r="C69"/>
  <c r="U68"/>
  <c r="S68"/>
  <c r="Q68"/>
  <c r="O68"/>
  <c r="E68"/>
  <c r="C68"/>
  <c r="U67"/>
  <c r="S67"/>
  <c r="Q67"/>
  <c r="O67"/>
  <c r="E67"/>
  <c r="C67"/>
  <c r="U66"/>
  <c r="S66"/>
  <c r="Q66"/>
  <c r="O66"/>
  <c r="E66"/>
  <c r="C66"/>
  <c r="U65"/>
  <c r="S65"/>
  <c r="Q65"/>
  <c r="O65"/>
  <c r="E65"/>
  <c r="C65"/>
  <c r="U64"/>
  <c r="S64"/>
  <c r="Q64"/>
  <c r="O64"/>
  <c r="E64"/>
  <c r="C64"/>
  <c r="U63"/>
  <c r="S63"/>
  <c r="Q63"/>
  <c r="O63"/>
  <c r="E63"/>
  <c r="C63"/>
  <c r="U62"/>
  <c r="S62"/>
  <c r="Q62"/>
  <c r="O62"/>
  <c r="E62"/>
  <c r="C62"/>
  <c r="U61"/>
  <c r="S61"/>
  <c r="Q61"/>
  <c r="O61"/>
  <c r="E61"/>
  <c r="C61"/>
  <c r="U60"/>
  <c r="S60"/>
  <c r="Q60"/>
  <c r="O60"/>
  <c r="E60"/>
  <c r="C60"/>
  <c r="U59"/>
  <c r="S59"/>
  <c r="Q59"/>
  <c r="O59"/>
  <c r="E59"/>
  <c r="C59"/>
  <c r="U58"/>
  <c r="S58"/>
  <c r="Q58"/>
  <c r="O58"/>
  <c r="E58"/>
  <c r="C58"/>
  <c r="U57"/>
  <c r="S57"/>
  <c r="Q57"/>
  <c r="O57"/>
  <c r="E57"/>
  <c r="C57"/>
  <c r="U56"/>
  <c r="S56"/>
  <c r="Q56"/>
  <c r="O56"/>
  <c r="E56"/>
  <c r="C56"/>
  <c r="U55"/>
  <c r="S55"/>
  <c r="Q55"/>
  <c r="O55"/>
  <c r="E55"/>
  <c r="C55"/>
  <c r="U84"/>
  <c r="S84"/>
  <c r="Q84"/>
  <c r="O84"/>
  <c r="E84"/>
  <c r="C84"/>
  <c r="U37"/>
  <c r="S37"/>
  <c r="Q37"/>
  <c r="O37"/>
  <c r="E37"/>
  <c r="C37"/>
  <c r="U36"/>
  <c r="S36"/>
  <c r="Q36"/>
  <c r="O36"/>
  <c r="E36"/>
  <c r="C36"/>
  <c r="U35"/>
  <c r="S35"/>
  <c r="Q35"/>
  <c r="O35"/>
  <c r="E35"/>
  <c r="C35"/>
  <c r="U34"/>
  <c r="S34"/>
  <c r="Q34"/>
  <c r="O34"/>
  <c r="E34"/>
  <c r="C34"/>
  <c r="U33"/>
  <c r="S33"/>
  <c r="Q33"/>
  <c r="O33"/>
  <c r="E33"/>
  <c r="C33"/>
  <c r="U32"/>
  <c r="S32"/>
  <c r="Q32"/>
  <c r="O32"/>
  <c r="E32"/>
  <c r="C32"/>
  <c r="U31"/>
  <c r="S31"/>
  <c r="Q31"/>
  <c r="O31"/>
  <c r="E31"/>
  <c r="C31"/>
  <c r="U30"/>
  <c r="S30"/>
  <c r="Q30"/>
  <c r="O30"/>
  <c r="E30"/>
  <c r="C30"/>
  <c r="U29"/>
  <c r="S29"/>
  <c r="Q29"/>
  <c r="O29"/>
  <c r="E29"/>
  <c r="C29"/>
  <c r="C28"/>
</calcChain>
</file>

<file path=xl/sharedStrings.xml><?xml version="1.0" encoding="utf-8"?>
<sst xmlns="http://schemas.openxmlformats.org/spreadsheetml/2006/main" count="199" uniqueCount="63">
  <si>
    <t/>
  </si>
  <si>
    <t>Inpatient</t>
  </si>
  <si>
    <t>nursing</t>
  </si>
  <si>
    <t xml:space="preserve"> 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</si>
  <si>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</si>
  <si>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</si>
  <si>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</si>
  <si>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</si>
  <si>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</si>
  <si>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</si>
  <si>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</si>
  <si>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</si>
  <si>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</si>
  <si>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</si>
  <si>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</si>
  <si>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</si>
  <si>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</si>
  <si>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</si>
  <si>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</si>
  <si>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</si>
  <si>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</si>
  <si>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</si>
  <si>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</si>
  <si>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</si>
  <si>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</si>
  <si>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</si>
  <si>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</si>
  <si>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</si>
  <si>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</si>
  <si>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</si>
  <si>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</si>
  <si>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</si>
  <si>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</si>
  <si>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</si>
  <si>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</si>
  <si>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</si>
  <si>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</si>
  <si>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Nursing</t>
  </si>
  <si>
    <t xml:space="preserve"> Facility</t>
  </si>
  <si>
    <t>Facility</t>
  </si>
  <si>
    <t>Table 13.14</t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</si>
  <si>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</si>
  <si>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   Health </t>
    </r>
    <r>
      <rPr>
        <vertAlign val="superscript"/>
        <sz val="8"/>
        <rFont val="Arial"/>
        <family val="2"/>
      </rPr>
      <t>3</t>
    </r>
  </si>
  <si>
    <t>Medicaid Payments per Person Served (Beneficiary), Adults, by Type of Service:</t>
  </si>
  <si>
    <t xml:space="preserve">Medicaid Payments per Person Served (Beneficiary), Adults, by Type of Service: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</si>
  <si>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</si>
  <si>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>some not shown separately.</t>
  </si>
  <si>
    <r>
      <t>2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</si>
  <si>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>that may be misleading.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</si>
  <si>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</si>
  <si>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</si>
  <si>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</si>
  <si>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</si>
  <si>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NOTES: Beginning fiscal year 1998, capitated premiums for Medicaid eligibles enrolled in managed care plans were included in this series as a </t>
  </si>
  <si>
    <t xml:space="preserve">component of the total payment per person served (beneficiary). Dollar amounts are adjusted using a personal consumption expenditure index for </t>
  </si>
  <si>
    <t>facility for the mentally retarded.</t>
  </si>
  <si>
    <t xml:space="preserve">SOURCES: Centers for Medicare &amp; Medicaid Services, Center for Medicaid and State Operations: Statistical Report on Medical Care: Eligibles, </t>
  </si>
  <si>
    <t xml:space="preserve">Recipients, Payments, and Services (HCFA 2082), Medicaid Statistical Information System (MSIS), and the personal health care consumption </t>
  </si>
  <si>
    <t>indices form the U.S. Department of Commerce; data development by the Office of Research, Development, and Information.</t>
  </si>
  <si>
    <t>Table 13.14—Continued</t>
  </si>
  <si>
    <t>Fiscal Years 1975-2007</t>
  </si>
  <si>
    <t>(Constant 2007 Dollars)</t>
  </si>
  <si>
    <t xml:space="preserve">medical services, U.S. Department of Commerce, Bureau of Economic Analysis, expressed in fiscal year 2007 dollars. ICF/MR is intermediate care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</si>
</sst>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37" fontId="7" fillId="0" borderId="0" xfId="0" applyNumberFormat="1" applyFont="1" applyAlignment="1" applyProtection="1">
      <alignment horizontal="center"/>
    </xf>
    <xf numFmtId="164" fontId="8" fillId="0" borderId="0" xfId="0" applyFont="1" applyAlignment="1" applyProtection="1">
      <alignment horizontal="left"/>
    </xf>
    <xf numFmtId="164" fontId="8" fillId="0" borderId="0" xfId="0" applyFont="1"/>
    <xf numFmtId="37" fontId="7" fillId="0" borderId="0" xfId="0" applyNumberFormat="1" applyFont="1" applyBorder="1" applyAlignment="1" applyProtection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9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7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Protection="1"/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2" fillId="0" borderId="0" xfId="0" applyFont="1" applyBorder="1"/>
    <xf numFmtId="37" fontId="8" fillId="0" borderId="0" xfId="0" applyNumberFormat="1" applyFont="1" applyBorder="1" applyAlignment="1" applyProtection="1">
      <alignment horizontal="right"/>
    </xf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37" fontId="8" fillId="0" borderId="1" xfId="0" applyNumberFormat="1" applyFont="1" applyBorder="1" applyAlignment="1" applyProtection="1">
      <alignment horizontal="right"/>
    </xf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8" fillId="0" borderId="0" xfId="0" applyNumberFormat="1" applyFont="1" applyBorder="1" applyAlignment="1" applyProtection="1">
      <alignment horizontal="right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4" fontId="2" fillId="0" borderId="0" xfId="0" applyFont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8" fillId="0" borderId="1" xfId="0" applyNumberFormat="1" applyFont="1" applyBorder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7" fillId="0" borderId="0" xfId="0" applyNumberFormat="1" applyFont="1" applyAlignment="1" applyProtection="1">
      <alignment horizontal="left" vertical="center"/>
    </xf>
    <xf numFmtId="164" fontId="0" fillId="0" borderId="0" xfId="0" applyFont="1"/>
    <xf numFmtId="164" fontId="8" fillId="0" borderId="0" xfId="0" applyNumberFormat="1" applyFont="1" applyBorder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top"/>
    </xf>
    <xf numFmtId="164" fontId="5" fillId="0" borderId="0" xfId="0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Y101"/>
  <sheetViews>
    <sheetView showGridLines="0" tabSelected="1" topLeftCell="A49" zoomScale="110" zoomScaleNormal="110" workbookViewId="0">
      <selection activeCell="U38" sqref="U38"/>
    </sheetView>
  </sheetViews>
  <sheetFormatPr defaultColWidth="9.7109375" defaultRowHeight="12.75"/>
  <cols>
    <col min="1" max="1" width="6.7109375" style="8" customWidth="1"/>
    <col min="2" max="2" width="3.7109375" style="8" customWidth="1"/>
    <col min="3" max="3" width="6.5703125" style="8" customWidth="1"/>
    <col min="4" max="4" width="2.7109375" style="8" customWidth="1"/>
    <col min="5" max="5" width="7.85546875" style="8" customWidth="1"/>
    <col min="6" max="6" width="2.7109375" style="8" customWidth="1"/>
    <col min="7" max="7" width="6.7109375" style="8" customWidth="1"/>
    <col min="8" max="8" width="3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6.7109375" style="8" customWidth="1"/>
    <col min="16" max="16" width="3.7109375" style="8" customWidth="1"/>
    <col min="17" max="17" width="6.7109375" style="8" customWidth="1"/>
    <col min="18" max="18" width="3.7109375" style="8" customWidth="1"/>
    <col min="19" max="19" width="5.7109375" style="8" customWidth="1"/>
    <col min="20" max="20" width="3.7109375" style="8" customWidth="1"/>
    <col min="21" max="21" width="6.7109375" style="8" customWidth="1"/>
    <col min="22" max="22" width="2.28515625" style="8" customWidth="1"/>
    <col min="23" max="25" width="9.7109375" style="8"/>
  </cols>
  <sheetData>
    <row r="1" spans="1:25" s="2" customFormat="1" ht="15" customHeight="1">
      <c r="A1" s="66" t="s">
        <v>40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"/>
      <c r="X1" s="6"/>
      <c r="Y1" s="6"/>
    </row>
    <row r="2" spans="1:25" s="52" customFormat="1" ht="12.95" customHeight="1">
      <c r="A2" s="64" t="s">
        <v>43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51"/>
      <c r="X2" s="51"/>
      <c r="Y2" s="51"/>
    </row>
    <row r="3" spans="1:25" s="3" customFormat="1" ht="12.95" customHeight="1">
      <c r="A3" s="65" t="s">
        <v>60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7"/>
      <c r="X3" s="7"/>
      <c r="Y3" s="7"/>
    </row>
    <row r="4" spans="1:25" s="1" customFormat="1" ht="10.5" customHeight="1">
      <c r="A4" s="22" t="s">
        <v>0</v>
      </c>
      <c r="B4" s="23"/>
      <c r="C4" s="23"/>
      <c r="D4" s="23"/>
      <c r="E4" s="53" t="s">
        <v>1</v>
      </c>
      <c r="F4" s="23"/>
      <c r="G4" s="23"/>
      <c r="H4" s="23"/>
      <c r="I4" s="23"/>
      <c r="J4" s="23"/>
      <c r="K4" s="24" t="s">
        <v>2</v>
      </c>
      <c r="L4" s="23"/>
      <c r="M4" s="22" t="s">
        <v>3</v>
      </c>
      <c r="N4" s="23"/>
      <c r="O4" s="23"/>
      <c r="P4" s="23"/>
      <c r="Q4" s="24" t="s">
        <v>4</v>
      </c>
      <c r="R4" s="23"/>
      <c r="S4" s="24" t="s">
        <v>5</v>
      </c>
      <c r="T4" s="23"/>
      <c r="U4" s="22" t="s">
        <v>6</v>
      </c>
      <c r="V4" s="11"/>
      <c r="W4" s="11"/>
      <c r="X4" s="11"/>
      <c r="Y4" s="11"/>
    </row>
    <row r="5" spans="1:25" s="1" customFormat="1" ht="15" customHeight="1">
      <c r="A5" s="25" t="s">
        <v>7</v>
      </c>
      <c r="B5" s="11"/>
      <c r="C5" s="25" t="s">
        <v>41</v>
      </c>
      <c r="D5" s="11"/>
      <c r="E5" s="54" t="s">
        <v>8</v>
      </c>
      <c r="F5" s="11"/>
      <c r="G5" s="27" t="s">
        <v>9</v>
      </c>
      <c r="H5" s="28"/>
      <c r="I5" s="29" t="s">
        <v>10</v>
      </c>
      <c r="J5" s="28"/>
      <c r="K5" s="29" t="s">
        <v>11</v>
      </c>
      <c r="L5" s="28"/>
      <c r="M5" s="30" t="s">
        <v>38</v>
      </c>
      <c r="N5" s="11"/>
      <c r="O5" s="26" t="s">
        <v>12</v>
      </c>
      <c r="P5" s="11"/>
      <c r="Q5" s="54" t="s">
        <v>8</v>
      </c>
      <c r="R5" s="11"/>
      <c r="S5" s="31" t="s">
        <v>42</v>
      </c>
      <c r="T5" s="11"/>
      <c r="U5" s="54" t="s">
        <v>13</v>
      </c>
      <c r="V5" s="28"/>
      <c r="W5" s="11"/>
      <c r="X5" s="11"/>
      <c r="Y5" s="11"/>
    </row>
    <row r="6" spans="1:25" s="1" customFormat="1" ht="12" customHeight="1">
      <c r="A6" s="32" t="s">
        <v>14</v>
      </c>
      <c r="B6" s="33"/>
      <c r="C6" s="34">
        <v>455</v>
      </c>
      <c r="D6" s="33"/>
      <c r="E6" s="34">
        <v>1085</v>
      </c>
      <c r="F6" s="33"/>
      <c r="G6" s="9">
        <v>-2</v>
      </c>
      <c r="H6" s="11"/>
      <c r="I6" s="35" t="s">
        <v>15</v>
      </c>
      <c r="J6" s="11"/>
      <c r="K6" s="36" t="s">
        <v>16</v>
      </c>
      <c r="L6" s="11"/>
      <c r="M6" s="9">
        <v>-2</v>
      </c>
      <c r="N6" s="33"/>
      <c r="O6" s="34">
        <v>116</v>
      </c>
      <c r="P6" s="33"/>
      <c r="Q6" s="34">
        <v>57</v>
      </c>
      <c r="R6" s="33"/>
      <c r="S6" s="34">
        <v>121</v>
      </c>
      <c r="T6" s="33"/>
      <c r="U6" s="34">
        <v>51</v>
      </c>
      <c r="V6" s="23"/>
      <c r="W6" s="11"/>
      <c r="X6" s="11"/>
      <c r="Y6" s="11"/>
    </row>
    <row r="7" spans="1:25" s="1" customFormat="1" ht="11.25" customHeight="1">
      <c r="A7" s="25" t="s">
        <v>17</v>
      </c>
      <c r="B7" s="11"/>
      <c r="C7" s="37">
        <v>479</v>
      </c>
      <c r="D7" s="11"/>
      <c r="E7" s="37">
        <v>1202</v>
      </c>
      <c r="F7" s="11"/>
      <c r="G7" s="9">
        <v>-2</v>
      </c>
      <c r="H7" s="11"/>
      <c r="I7" s="38" t="s">
        <v>16</v>
      </c>
      <c r="J7" s="11"/>
      <c r="K7" s="38" t="s">
        <v>16</v>
      </c>
      <c r="L7" s="11"/>
      <c r="M7" s="9">
        <v>-2</v>
      </c>
      <c r="N7" s="11"/>
      <c r="O7" s="37">
        <v>125</v>
      </c>
      <c r="P7" s="11"/>
      <c r="Q7" s="37">
        <v>74</v>
      </c>
      <c r="R7" s="11"/>
      <c r="S7" s="37">
        <v>284</v>
      </c>
      <c r="T7" s="11"/>
      <c r="U7" s="37">
        <v>46</v>
      </c>
      <c r="V7" s="11"/>
      <c r="W7" s="11"/>
      <c r="X7" s="11"/>
      <c r="Y7" s="11"/>
    </row>
    <row r="8" spans="1:25" s="1" customFormat="1" ht="11.25" customHeight="1">
      <c r="A8" s="25" t="s">
        <v>18</v>
      </c>
      <c r="B8" s="11"/>
      <c r="C8" s="37">
        <v>545</v>
      </c>
      <c r="D8" s="11"/>
      <c r="E8" s="37">
        <v>1302</v>
      </c>
      <c r="F8" s="11"/>
      <c r="G8" s="9">
        <v>-2</v>
      </c>
      <c r="H8" s="11"/>
      <c r="I8" s="38" t="s">
        <v>16</v>
      </c>
      <c r="J8" s="11"/>
      <c r="K8" s="38" t="s">
        <v>16</v>
      </c>
      <c r="L8" s="11"/>
      <c r="M8" s="9">
        <v>-2</v>
      </c>
      <c r="N8" s="11"/>
      <c r="O8" s="37">
        <v>132</v>
      </c>
      <c r="P8" s="11"/>
      <c r="Q8" s="37">
        <v>118</v>
      </c>
      <c r="R8" s="11"/>
      <c r="S8" s="37">
        <v>316</v>
      </c>
      <c r="T8" s="11"/>
      <c r="U8" s="37">
        <v>50</v>
      </c>
      <c r="V8" s="11"/>
      <c r="W8" s="11"/>
      <c r="X8" s="11"/>
      <c r="Y8" s="11"/>
    </row>
    <row r="9" spans="1:25" s="1" customFormat="1" ht="11.25" customHeight="1">
      <c r="A9" s="25" t="s">
        <v>19</v>
      </c>
      <c r="B9" s="11"/>
      <c r="C9" s="37">
        <v>576</v>
      </c>
      <c r="D9" s="11"/>
      <c r="E9" s="37">
        <v>1404</v>
      </c>
      <c r="F9" s="11"/>
      <c r="G9" s="9">
        <v>-2</v>
      </c>
      <c r="H9" s="11"/>
      <c r="I9" s="38" t="s">
        <v>16</v>
      </c>
      <c r="J9" s="11"/>
      <c r="K9" s="38" t="s">
        <v>16</v>
      </c>
      <c r="L9" s="11"/>
      <c r="M9" s="9">
        <v>-2</v>
      </c>
      <c r="N9" s="11"/>
      <c r="O9" s="37">
        <v>140</v>
      </c>
      <c r="P9" s="11"/>
      <c r="Q9" s="37">
        <v>113</v>
      </c>
      <c r="R9" s="11"/>
      <c r="S9" s="37">
        <v>457</v>
      </c>
      <c r="T9" s="11"/>
      <c r="U9" s="37">
        <v>52</v>
      </c>
      <c r="V9" s="11"/>
      <c r="W9" s="11"/>
      <c r="X9" s="11"/>
      <c r="Y9" s="11"/>
    </row>
    <row r="10" spans="1:25" s="1" customFormat="1" ht="11.25" customHeight="1">
      <c r="A10" s="25" t="s">
        <v>20</v>
      </c>
      <c r="B10" s="11"/>
      <c r="C10" s="37">
        <v>661</v>
      </c>
      <c r="D10" s="11"/>
      <c r="E10" s="37">
        <v>1640</v>
      </c>
      <c r="F10" s="11"/>
      <c r="G10" s="9">
        <v>-2</v>
      </c>
      <c r="H10" s="11"/>
      <c r="I10" s="38" t="s">
        <v>16</v>
      </c>
      <c r="J10" s="11"/>
      <c r="K10" s="38" t="s">
        <v>16</v>
      </c>
      <c r="L10" s="11"/>
      <c r="M10" s="9">
        <v>-2</v>
      </c>
      <c r="N10" s="11"/>
      <c r="O10" s="37">
        <v>152</v>
      </c>
      <c r="P10" s="11"/>
      <c r="Q10" s="37">
        <v>127</v>
      </c>
      <c r="R10" s="11"/>
      <c r="S10" s="37">
        <v>765</v>
      </c>
      <c r="T10" s="11"/>
      <c r="U10" s="37">
        <v>61</v>
      </c>
      <c r="V10" s="11"/>
      <c r="W10" s="11"/>
      <c r="X10" s="11"/>
      <c r="Y10" s="11"/>
    </row>
    <row r="11" spans="1:25" s="1" customFormat="1" ht="11.25" customHeight="1">
      <c r="A11" s="25" t="s">
        <v>21</v>
      </c>
      <c r="B11" s="11"/>
      <c r="C11" s="37">
        <v>663</v>
      </c>
      <c r="D11" s="11"/>
      <c r="E11" s="37">
        <v>1673</v>
      </c>
      <c r="F11" s="11"/>
      <c r="G11" s="9">
        <v>-2</v>
      </c>
      <c r="H11" s="11"/>
      <c r="I11" s="38" t="s">
        <v>16</v>
      </c>
      <c r="J11" s="11"/>
      <c r="K11" s="38" t="s">
        <v>16</v>
      </c>
      <c r="L11" s="11"/>
      <c r="M11" s="9">
        <v>-2</v>
      </c>
      <c r="N11" s="11"/>
      <c r="O11" s="37">
        <v>183</v>
      </c>
      <c r="P11" s="11"/>
      <c r="Q11" s="37">
        <v>126</v>
      </c>
      <c r="R11" s="11"/>
      <c r="S11" s="37">
        <v>252</v>
      </c>
      <c r="T11" s="11"/>
      <c r="U11" s="37">
        <v>66</v>
      </c>
      <c r="V11" s="11"/>
      <c r="W11" s="11"/>
      <c r="X11" s="11"/>
      <c r="Y11" s="11"/>
    </row>
    <row r="12" spans="1:25" s="1" customFormat="1" ht="11.25" customHeight="1">
      <c r="A12" s="25" t="s">
        <v>22</v>
      </c>
      <c r="B12" s="11"/>
      <c r="C12" s="37">
        <v>725</v>
      </c>
      <c r="D12" s="11"/>
      <c r="E12" s="37">
        <v>1833</v>
      </c>
      <c r="F12" s="11"/>
      <c r="G12" s="9">
        <v>-2</v>
      </c>
      <c r="H12" s="11"/>
      <c r="I12" s="38" t="s">
        <v>16</v>
      </c>
      <c r="J12" s="11"/>
      <c r="K12" s="38" t="s">
        <v>16</v>
      </c>
      <c r="L12" s="11"/>
      <c r="M12" s="9">
        <v>-2</v>
      </c>
      <c r="N12" s="11"/>
      <c r="O12" s="37">
        <v>193</v>
      </c>
      <c r="P12" s="11"/>
      <c r="Q12" s="37">
        <v>157</v>
      </c>
      <c r="R12" s="11"/>
      <c r="S12" s="37">
        <v>303</v>
      </c>
      <c r="T12" s="11"/>
      <c r="U12" s="37">
        <v>69</v>
      </c>
      <c r="V12" s="11"/>
      <c r="W12" s="11"/>
      <c r="X12" s="11"/>
      <c r="Y12" s="11"/>
    </row>
    <row r="13" spans="1:25" s="1" customFormat="1" ht="11.25" customHeight="1">
      <c r="A13" s="25" t="s">
        <v>23</v>
      </c>
      <c r="B13" s="11"/>
      <c r="C13" s="37">
        <v>764</v>
      </c>
      <c r="D13" s="11"/>
      <c r="E13" s="37">
        <v>2046</v>
      </c>
      <c r="F13" s="11"/>
      <c r="G13" s="9">
        <v>-2</v>
      </c>
      <c r="H13" s="11"/>
      <c r="I13" s="38" t="s">
        <v>16</v>
      </c>
      <c r="J13" s="11"/>
      <c r="K13" s="38" t="s">
        <v>16</v>
      </c>
      <c r="L13" s="11"/>
      <c r="M13" s="9">
        <v>-2</v>
      </c>
      <c r="N13" s="11"/>
      <c r="O13" s="37">
        <v>197</v>
      </c>
      <c r="P13" s="11"/>
      <c r="Q13" s="37">
        <v>162</v>
      </c>
      <c r="R13" s="11"/>
      <c r="S13" s="37">
        <v>352</v>
      </c>
      <c r="T13" s="11"/>
      <c r="U13" s="37">
        <v>74</v>
      </c>
      <c r="V13" s="11"/>
      <c r="W13" s="11"/>
      <c r="X13" s="11"/>
      <c r="Y13" s="11"/>
    </row>
    <row r="14" spans="1:25" s="1" customFormat="1" ht="11.25" customHeight="1">
      <c r="A14" s="25" t="s">
        <v>24</v>
      </c>
      <c r="B14" s="11"/>
      <c r="C14" s="37">
        <v>802</v>
      </c>
      <c r="D14" s="11"/>
      <c r="E14" s="37">
        <v>2146</v>
      </c>
      <c r="F14" s="11"/>
      <c r="G14" s="9">
        <v>-2</v>
      </c>
      <c r="H14" s="11"/>
      <c r="I14" s="38" t="s">
        <v>16</v>
      </c>
      <c r="J14" s="11"/>
      <c r="K14" s="38" t="s">
        <v>16</v>
      </c>
      <c r="L14" s="11"/>
      <c r="M14" s="9">
        <v>-2</v>
      </c>
      <c r="N14" s="11"/>
      <c r="O14" s="37">
        <v>198</v>
      </c>
      <c r="P14" s="11"/>
      <c r="Q14" s="37">
        <v>170</v>
      </c>
      <c r="R14" s="11"/>
      <c r="S14" s="37">
        <v>402</v>
      </c>
      <c r="T14" s="11"/>
      <c r="U14" s="37">
        <v>78</v>
      </c>
      <c r="V14" s="11"/>
      <c r="W14" s="11"/>
      <c r="X14" s="11"/>
      <c r="Y14" s="11"/>
    </row>
    <row r="15" spans="1:25" s="1" customFormat="1" ht="11.25" customHeight="1">
      <c r="A15" s="25" t="s">
        <v>25</v>
      </c>
      <c r="B15" s="11"/>
      <c r="C15" s="37">
        <v>789</v>
      </c>
      <c r="D15" s="11"/>
      <c r="E15" s="37">
        <v>2229</v>
      </c>
      <c r="F15" s="11"/>
      <c r="G15" s="9">
        <v>-2</v>
      </c>
      <c r="H15" s="11"/>
      <c r="I15" s="38" t="s">
        <v>16</v>
      </c>
      <c r="J15" s="11"/>
      <c r="K15" s="38" t="s">
        <v>16</v>
      </c>
      <c r="L15" s="11"/>
      <c r="M15" s="9">
        <v>-2</v>
      </c>
      <c r="N15" s="11"/>
      <c r="O15" s="37">
        <v>197</v>
      </c>
      <c r="P15" s="11"/>
      <c r="Q15" s="37">
        <v>172</v>
      </c>
      <c r="R15" s="11"/>
      <c r="S15" s="37">
        <v>411</v>
      </c>
      <c r="T15" s="11"/>
      <c r="U15" s="37">
        <v>83</v>
      </c>
      <c r="V15" s="11"/>
      <c r="W15" s="11"/>
      <c r="X15" s="11"/>
      <c r="Y15" s="11"/>
    </row>
    <row r="16" spans="1:25" s="1" customFormat="1" ht="11.25" customHeight="1">
      <c r="A16" s="25" t="s">
        <v>26</v>
      </c>
      <c r="B16" s="11"/>
      <c r="C16" s="37">
        <v>860</v>
      </c>
      <c r="D16" s="11"/>
      <c r="E16" s="37">
        <v>2354</v>
      </c>
      <c r="F16" s="11"/>
      <c r="G16" s="9">
        <v>-2</v>
      </c>
      <c r="H16" s="11"/>
      <c r="I16" s="38" t="s">
        <v>16</v>
      </c>
      <c r="J16" s="11"/>
      <c r="K16" s="38" t="s">
        <v>16</v>
      </c>
      <c r="L16" s="11"/>
      <c r="M16" s="9">
        <v>-2</v>
      </c>
      <c r="N16" s="11"/>
      <c r="O16" s="37">
        <v>213</v>
      </c>
      <c r="P16" s="11"/>
      <c r="Q16" s="37">
        <v>183</v>
      </c>
      <c r="R16" s="11"/>
      <c r="S16" s="37">
        <v>483</v>
      </c>
      <c r="T16" s="11"/>
      <c r="U16" s="37">
        <v>96</v>
      </c>
      <c r="V16" s="11"/>
      <c r="W16" s="11"/>
      <c r="X16" s="11"/>
      <c r="Y16" s="11"/>
    </row>
    <row r="17" spans="1:25" s="1" customFormat="1" ht="11.25" customHeight="1">
      <c r="A17" s="25" t="s">
        <v>27</v>
      </c>
      <c r="B17" s="11"/>
      <c r="C17" s="37">
        <v>864</v>
      </c>
      <c r="D17" s="11"/>
      <c r="E17" s="37">
        <v>2237</v>
      </c>
      <c r="F17" s="11"/>
      <c r="G17" s="9">
        <v>-2</v>
      </c>
      <c r="H17" s="11"/>
      <c r="I17" s="38" t="s">
        <v>16</v>
      </c>
      <c r="J17" s="11"/>
      <c r="K17" s="38" t="s">
        <v>16</v>
      </c>
      <c r="L17" s="11"/>
      <c r="M17" s="9">
        <v>-2</v>
      </c>
      <c r="N17" s="11"/>
      <c r="O17" s="37">
        <v>237</v>
      </c>
      <c r="P17" s="11"/>
      <c r="Q17" s="37">
        <v>175</v>
      </c>
      <c r="R17" s="11"/>
      <c r="S17" s="37">
        <v>433</v>
      </c>
      <c r="T17" s="11"/>
      <c r="U17" s="37">
        <v>102</v>
      </c>
      <c r="V17" s="11"/>
      <c r="W17" s="11"/>
      <c r="X17" s="11"/>
      <c r="Y17" s="11"/>
    </row>
    <row r="18" spans="1:25" s="1" customFormat="1" ht="11.25" customHeight="1">
      <c r="A18" s="25" t="s">
        <v>28</v>
      </c>
      <c r="B18" s="11"/>
      <c r="C18" s="37">
        <v>999</v>
      </c>
      <c r="D18" s="11"/>
      <c r="E18" s="37">
        <v>2487</v>
      </c>
      <c r="F18" s="11"/>
      <c r="G18" s="9">
        <v>-2</v>
      </c>
      <c r="H18" s="11"/>
      <c r="I18" s="11"/>
      <c r="J18" s="11"/>
      <c r="K18" s="11"/>
      <c r="L18" s="11"/>
      <c r="M18" s="9">
        <v>-2</v>
      </c>
      <c r="N18" s="11"/>
      <c r="O18" s="37">
        <v>250</v>
      </c>
      <c r="P18" s="11"/>
      <c r="Q18" s="37">
        <v>207</v>
      </c>
      <c r="R18" s="11"/>
      <c r="S18" s="37">
        <v>459</v>
      </c>
      <c r="T18" s="11"/>
      <c r="U18" s="37">
        <v>117</v>
      </c>
      <c r="V18" s="11"/>
      <c r="W18" s="11"/>
      <c r="X18" s="11"/>
      <c r="Y18" s="11"/>
    </row>
    <row r="19" spans="1:25" s="1" customFormat="1" ht="11.25" customHeight="1">
      <c r="A19" s="25" t="s">
        <v>29</v>
      </c>
      <c r="B19" s="11"/>
      <c r="C19" s="37">
        <v>1069</v>
      </c>
      <c r="D19" s="11"/>
      <c r="E19" s="37">
        <v>2542</v>
      </c>
      <c r="F19" s="11"/>
      <c r="G19" s="9">
        <v>-2</v>
      </c>
      <c r="H19" s="11"/>
      <c r="I19" s="38" t="s">
        <v>16</v>
      </c>
      <c r="J19" s="11"/>
      <c r="K19" s="38" t="s">
        <v>16</v>
      </c>
      <c r="L19" s="11"/>
      <c r="M19" s="9">
        <v>-2</v>
      </c>
      <c r="N19" s="11"/>
      <c r="O19" s="37">
        <v>272</v>
      </c>
      <c r="P19" s="11"/>
      <c r="Q19" s="37">
        <v>232</v>
      </c>
      <c r="R19" s="11"/>
      <c r="S19" s="37">
        <v>570</v>
      </c>
      <c r="T19" s="11"/>
      <c r="U19" s="37">
        <v>122</v>
      </c>
      <c r="V19" s="11"/>
      <c r="W19" s="11"/>
      <c r="X19" s="11"/>
      <c r="Y19" s="11"/>
    </row>
    <row r="20" spans="1:25" s="1" customFormat="1" ht="11.25" customHeight="1">
      <c r="A20" s="25" t="s">
        <v>30</v>
      </c>
      <c r="B20" s="11"/>
      <c r="C20" s="37">
        <v>1206</v>
      </c>
      <c r="D20" s="11"/>
      <c r="E20" s="37">
        <v>2582</v>
      </c>
      <c r="F20" s="11"/>
      <c r="G20" s="9">
        <v>-2</v>
      </c>
      <c r="H20" s="11"/>
      <c r="I20" s="35" t="s">
        <v>15</v>
      </c>
      <c r="J20" s="11"/>
      <c r="K20" s="36" t="s">
        <v>16</v>
      </c>
      <c r="L20" s="11"/>
      <c r="M20" s="9">
        <v>-2</v>
      </c>
      <c r="N20" s="11"/>
      <c r="O20" s="37">
        <v>305</v>
      </c>
      <c r="P20" s="11"/>
      <c r="Q20" s="37">
        <v>249</v>
      </c>
      <c r="R20" s="11"/>
      <c r="S20" s="37">
        <v>622</v>
      </c>
      <c r="T20" s="11"/>
      <c r="U20" s="37">
        <v>129</v>
      </c>
      <c r="V20" s="11"/>
      <c r="W20" s="11"/>
      <c r="X20" s="11"/>
      <c r="Y20" s="11"/>
    </row>
    <row r="21" spans="1:25" s="1" customFormat="1" ht="11.25" customHeight="1">
      <c r="A21" s="25" t="s">
        <v>31</v>
      </c>
      <c r="B21" s="11"/>
      <c r="C21" s="37">
        <v>1429.14</v>
      </c>
      <c r="D21" s="11"/>
      <c r="E21" s="37">
        <v>2889.44</v>
      </c>
      <c r="F21" s="11"/>
      <c r="G21" s="9">
        <v>-2</v>
      </c>
      <c r="H21" s="11"/>
      <c r="I21" s="38" t="s">
        <v>16</v>
      </c>
      <c r="J21" s="11"/>
      <c r="K21" s="38" t="s">
        <v>16</v>
      </c>
      <c r="L21" s="11"/>
      <c r="M21" s="9">
        <v>-2</v>
      </c>
      <c r="N21" s="11"/>
      <c r="O21" s="37">
        <v>348.64</v>
      </c>
      <c r="P21" s="11"/>
      <c r="Q21" s="37">
        <v>278.60000000000002</v>
      </c>
      <c r="R21" s="11"/>
      <c r="S21" s="37">
        <v>708.83</v>
      </c>
      <c r="T21" s="11"/>
      <c r="U21" s="37">
        <v>140.69999999999999</v>
      </c>
      <c r="V21" s="11"/>
      <c r="W21" s="11"/>
      <c r="X21" s="11"/>
      <c r="Y21" s="11"/>
    </row>
    <row r="22" spans="1:25" s="1" customFormat="1" ht="11.25" customHeight="1">
      <c r="A22" s="25" t="s">
        <v>32</v>
      </c>
      <c r="B22" s="11"/>
      <c r="C22" s="37">
        <v>1554.62</v>
      </c>
      <c r="D22" s="11"/>
      <c r="E22" s="37">
        <v>3011.63</v>
      </c>
      <c r="F22" s="11"/>
      <c r="G22" s="9">
        <v>-2</v>
      </c>
      <c r="H22" s="11"/>
      <c r="I22" s="38" t="s">
        <v>16</v>
      </c>
      <c r="J22" s="11"/>
      <c r="K22" s="38" t="s">
        <v>16</v>
      </c>
      <c r="L22" s="11"/>
      <c r="M22" s="9">
        <v>-2</v>
      </c>
      <c r="N22" s="11"/>
      <c r="O22" s="37">
        <v>389.25</v>
      </c>
      <c r="P22" s="11"/>
      <c r="Q22" s="37">
        <v>318.75</v>
      </c>
      <c r="R22" s="11"/>
      <c r="S22" s="37">
        <v>569.41</v>
      </c>
      <c r="T22" s="11"/>
      <c r="U22" s="37">
        <v>147.79</v>
      </c>
      <c r="V22" s="11"/>
      <c r="W22" s="11"/>
      <c r="X22" s="11"/>
      <c r="Y22" s="11"/>
    </row>
    <row r="23" spans="1:25" s="1" customFormat="1" ht="11.25" customHeight="1">
      <c r="A23" s="25" t="s">
        <v>33</v>
      </c>
      <c r="B23" s="11"/>
      <c r="C23" s="37">
        <v>1762</v>
      </c>
      <c r="D23" s="37"/>
      <c r="E23" s="37">
        <v>3247</v>
      </c>
      <c r="F23" s="37"/>
      <c r="G23" s="9">
        <v>-2</v>
      </c>
      <c r="H23" s="11"/>
      <c r="I23" s="38" t="s">
        <v>16</v>
      </c>
      <c r="J23" s="11"/>
      <c r="K23" s="38" t="s">
        <v>16</v>
      </c>
      <c r="L23" s="11"/>
      <c r="M23" s="9">
        <v>-2</v>
      </c>
      <c r="N23" s="37"/>
      <c r="O23" s="37">
        <v>417</v>
      </c>
      <c r="P23" s="37"/>
      <c r="Q23" s="37">
        <v>377</v>
      </c>
      <c r="R23" s="37"/>
      <c r="S23" s="37">
        <v>789</v>
      </c>
      <c r="T23" s="37"/>
      <c r="U23" s="37">
        <v>161</v>
      </c>
      <c r="V23" s="37"/>
      <c r="W23" s="11"/>
      <c r="X23" s="11"/>
      <c r="Y23" s="11"/>
    </row>
    <row r="24" spans="1:25" s="1" customFormat="1" ht="11.25" customHeight="1">
      <c r="A24" s="25" t="s">
        <v>34</v>
      </c>
      <c r="B24" s="11"/>
      <c r="C24" s="37">
        <v>1813</v>
      </c>
      <c r="D24" s="37"/>
      <c r="E24" s="37">
        <v>3393</v>
      </c>
      <c r="F24" s="37"/>
      <c r="G24" s="9">
        <v>-2</v>
      </c>
      <c r="H24" s="11"/>
      <c r="I24" s="38" t="s">
        <v>16</v>
      </c>
      <c r="J24" s="11"/>
      <c r="K24" s="38" t="s">
        <v>16</v>
      </c>
      <c r="L24" s="11"/>
      <c r="M24" s="9">
        <v>-2</v>
      </c>
      <c r="N24" s="37"/>
      <c r="O24" s="39">
        <v>423</v>
      </c>
      <c r="P24" s="11"/>
      <c r="Q24" s="39">
        <v>405</v>
      </c>
      <c r="R24" s="11"/>
      <c r="S24" s="39">
        <v>765</v>
      </c>
      <c r="T24" s="11"/>
      <c r="U24" s="39">
        <v>170</v>
      </c>
      <c r="V24" s="11"/>
      <c r="W24" s="11"/>
      <c r="X24" s="11"/>
      <c r="Y24" s="11"/>
    </row>
    <row r="25" spans="1:25" s="1" customFormat="1" ht="11.25" customHeight="1">
      <c r="A25" s="25" t="s">
        <v>35</v>
      </c>
      <c r="B25" s="11"/>
      <c r="C25" s="37">
        <v>1791</v>
      </c>
      <c r="D25" s="37"/>
      <c r="E25" s="37">
        <v>3450</v>
      </c>
      <c r="F25" s="37"/>
      <c r="G25" s="9">
        <v>-2</v>
      </c>
      <c r="H25" s="11"/>
      <c r="I25" s="38" t="s">
        <v>16</v>
      </c>
      <c r="J25" s="11"/>
      <c r="K25" s="38" t="s">
        <v>16</v>
      </c>
      <c r="L25" s="11"/>
      <c r="M25" s="9">
        <v>-2</v>
      </c>
      <c r="N25" s="37"/>
      <c r="O25" s="37">
        <v>420</v>
      </c>
      <c r="P25" s="37"/>
      <c r="Q25" s="37">
        <v>404</v>
      </c>
      <c r="R25" s="37"/>
      <c r="S25" s="37">
        <v>633</v>
      </c>
      <c r="T25" s="37"/>
      <c r="U25" s="37">
        <v>179</v>
      </c>
      <c r="V25" s="37"/>
      <c r="W25" s="11"/>
      <c r="X25" s="11"/>
      <c r="Y25" s="11"/>
    </row>
    <row r="26" spans="1:25" s="1" customFormat="1" ht="11.25" customHeight="1">
      <c r="A26" s="25">
        <v>1995</v>
      </c>
      <c r="B26" s="11"/>
      <c r="C26" s="37">
        <v>1777</v>
      </c>
      <c r="D26" s="37"/>
      <c r="E26" s="37">
        <v>3461</v>
      </c>
      <c r="F26" s="37"/>
      <c r="G26" s="9">
        <v>-2</v>
      </c>
      <c r="H26" s="11"/>
      <c r="I26" s="38" t="s">
        <v>16</v>
      </c>
      <c r="J26" s="11"/>
      <c r="K26" s="38" t="s">
        <v>16</v>
      </c>
      <c r="L26" s="11"/>
      <c r="M26" s="9">
        <v>-2</v>
      </c>
      <c r="N26" s="37"/>
      <c r="O26" s="37">
        <v>424</v>
      </c>
      <c r="P26" s="37"/>
      <c r="Q26" s="37">
        <v>403</v>
      </c>
      <c r="R26" s="37"/>
      <c r="S26" s="37">
        <v>568</v>
      </c>
      <c r="T26" s="37"/>
      <c r="U26" s="37">
        <v>189</v>
      </c>
      <c r="V26" s="37"/>
      <c r="W26" s="11"/>
      <c r="X26" s="11"/>
      <c r="Y26" s="11"/>
    </row>
    <row r="27" spans="1:25" s="1" customFormat="1" ht="11.25" customHeight="1">
      <c r="A27" s="25">
        <v>1996</v>
      </c>
      <c r="B27" s="11"/>
      <c r="C27" s="37">
        <v>1722</v>
      </c>
      <c r="D27" s="37"/>
      <c r="E27" s="37">
        <v>3456</v>
      </c>
      <c r="F27" s="37"/>
      <c r="G27" s="9">
        <v>-2</v>
      </c>
      <c r="H27" s="11"/>
      <c r="I27" s="38" t="s">
        <v>16</v>
      </c>
      <c r="J27" s="11"/>
      <c r="K27" s="38" t="s">
        <v>16</v>
      </c>
      <c r="L27" s="11"/>
      <c r="M27" s="9">
        <v>-2</v>
      </c>
      <c r="N27" s="37"/>
      <c r="O27" s="37">
        <v>429</v>
      </c>
      <c r="P27" s="37"/>
      <c r="Q27" s="37">
        <v>398</v>
      </c>
      <c r="R27" s="37"/>
      <c r="S27" s="37">
        <v>540</v>
      </c>
      <c r="T27" s="37"/>
      <c r="U27" s="37">
        <v>197</v>
      </c>
      <c r="V27" s="37"/>
      <c r="W27" s="11"/>
      <c r="X27" s="11"/>
      <c r="Y27" s="11"/>
    </row>
    <row r="28" spans="1:25" s="1" customFormat="1" ht="11.25" customHeight="1">
      <c r="A28" s="25">
        <v>1997</v>
      </c>
      <c r="B28" s="11"/>
      <c r="C28" s="37">
        <f>12307238768/6802948</f>
        <v>1809.1037544311671</v>
      </c>
      <c r="D28" s="37"/>
      <c r="E28" s="37">
        <v>3654</v>
      </c>
      <c r="F28" s="37"/>
      <c r="G28" s="9">
        <v>-2</v>
      </c>
      <c r="H28" s="11"/>
      <c r="I28" s="38" t="s">
        <v>16</v>
      </c>
      <c r="J28" s="11"/>
      <c r="K28" s="38" t="s">
        <v>16</v>
      </c>
      <c r="L28" s="11"/>
      <c r="M28" s="9">
        <v>-2</v>
      </c>
      <c r="N28" s="37"/>
      <c r="O28" s="37">
        <v>488</v>
      </c>
      <c r="P28" s="37"/>
      <c r="Q28" s="37">
        <v>425</v>
      </c>
      <c r="R28" s="37"/>
      <c r="S28" s="37">
        <v>594</v>
      </c>
      <c r="T28" s="37"/>
      <c r="U28" s="37">
        <v>226</v>
      </c>
      <c r="V28" s="37"/>
      <c r="W28" s="11"/>
      <c r="X28" s="11"/>
      <c r="Y28" s="11"/>
    </row>
    <row r="29" spans="1:25" s="1" customFormat="1" ht="11.25" customHeight="1">
      <c r="A29" s="25">
        <v>1998</v>
      </c>
      <c r="B29" s="11"/>
      <c r="C29" s="37">
        <f>14864732458/7895446</f>
        <v>1882.6969949512668</v>
      </c>
      <c r="D29" s="37"/>
      <c r="E29" s="37">
        <f>4201258106/1134962</f>
        <v>3701.6729247322819</v>
      </c>
      <c r="F29" s="37"/>
      <c r="G29" s="9">
        <v>-2</v>
      </c>
      <c r="H29" s="11"/>
      <c r="I29" s="38" t="s">
        <v>16</v>
      </c>
      <c r="J29" s="11"/>
      <c r="K29" s="38" t="s">
        <v>16</v>
      </c>
      <c r="L29" s="11"/>
      <c r="M29" s="9">
        <v>-2</v>
      </c>
      <c r="N29" s="37"/>
      <c r="O29" s="37">
        <f>1533073398/3352196</f>
        <v>457.33405743578237</v>
      </c>
      <c r="P29" s="37"/>
      <c r="Q29" s="37">
        <f>1183156343/2679121</f>
        <v>441.62109251504506</v>
      </c>
      <c r="R29" s="37"/>
      <c r="S29" s="37">
        <f>61145430/120167</f>
        <v>508.83711834363845</v>
      </c>
      <c r="T29" s="37"/>
      <c r="U29" s="37">
        <f>916777530/3513128</f>
        <v>260.95762238096648</v>
      </c>
      <c r="V29" s="37"/>
      <c r="W29" s="11"/>
      <c r="X29" s="11"/>
      <c r="Y29" s="11"/>
    </row>
    <row r="30" spans="1:25" s="1" customFormat="1" ht="11.25" customHeight="1">
      <c r="A30" s="25">
        <v>1999</v>
      </c>
      <c r="B30" s="11"/>
      <c r="C30" s="37">
        <f>15801202536/7510735</f>
        <v>2103.8157431995669</v>
      </c>
      <c r="D30" s="37"/>
      <c r="E30" s="37">
        <f>4319257571/1134291</f>
        <v>3807.891952770497</v>
      </c>
      <c r="F30" s="37"/>
      <c r="G30" s="9">
        <v>-2</v>
      </c>
      <c r="H30" s="11"/>
      <c r="I30" s="38" t="s">
        <v>16</v>
      </c>
      <c r="J30" s="11"/>
      <c r="K30" s="38" t="s">
        <v>16</v>
      </c>
      <c r="L30" s="11"/>
      <c r="M30" s="9">
        <v>-2</v>
      </c>
      <c r="N30" s="37"/>
      <c r="O30" s="37">
        <f>1578252395/3105201</f>
        <v>508.26094510468084</v>
      </c>
      <c r="P30" s="37"/>
      <c r="Q30" s="37">
        <f>1257565752/2571015</f>
        <v>489.13201673269117</v>
      </c>
      <c r="R30" s="37"/>
      <c r="S30" s="37">
        <f>61997025/86341</f>
        <v>718.0484937631021</v>
      </c>
      <c r="T30" s="37"/>
      <c r="U30" s="37">
        <f>1189307724/3545478</f>
        <v>335.44354921959746</v>
      </c>
      <c r="V30" s="37"/>
      <c r="W30" s="11"/>
      <c r="X30" s="11"/>
      <c r="Y30" s="11"/>
    </row>
    <row r="31" spans="1:25" s="1" customFormat="1" ht="11.25" customHeight="1">
      <c r="A31" s="25">
        <v>2000</v>
      </c>
      <c r="B31" s="11"/>
      <c r="C31" s="37">
        <f>17762792055/8749630</f>
        <v>2030.1192227557051</v>
      </c>
      <c r="D31" s="37"/>
      <c r="E31" s="37">
        <f>4767125908/1268065</f>
        <v>3759.370306727179</v>
      </c>
      <c r="F31" s="37"/>
      <c r="G31" s="9">
        <v>-2</v>
      </c>
      <c r="H31" s="11"/>
      <c r="I31" s="38" t="s">
        <v>16</v>
      </c>
      <c r="J31" s="11"/>
      <c r="K31" s="38" t="s">
        <v>16</v>
      </c>
      <c r="L31" s="11"/>
      <c r="M31" s="9">
        <v>-2</v>
      </c>
      <c r="N31" s="37"/>
      <c r="O31" s="37">
        <f>1697167975/3580258</f>
        <v>474.03510445336622</v>
      </c>
      <c r="P31" s="37"/>
      <c r="Q31" s="37">
        <f>1442724618/2793336</f>
        <v>516.488033662975</v>
      </c>
      <c r="R31" s="37"/>
      <c r="S31" s="37">
        <f>64666169/100807</f>
        <v>641.48490680210705</v>
      </c>
      <c r="T31" s="37"/>
      <c r="U31" s="37">
        <f>1444183592/3962162</f>
        <v>364.49382735991105</v>
      </c>
      <c r="V31" s="37"/>
      <c r="W31" s="11"/>
      <c r="X31" s="11"/>
      <c r="Y31" s="11"/>
    </row>
    <row r="32" spans="1:25" s="1" customFormat="1" ht="11.25" customHeight="1">
      <c r="A32" s="25">
        <v>2001</v>
      </c>
      <c r="B32" s="11"/>
      <c r="C32" s="37">
        <f>20169989957/9758338</f>
        <v>2066.9493060191194</v>
      </c>
      <c r="D32" s="37"/>
      <c r="E32" s="37">
        <f>5274502957/1332282</f>
        <v>3958.9988883734827</v>
      </c>
      <c r="F32" s="37"/>
      <c r="G32" s="9">
        <v>-2</v>
      </c>
      <c r="H32" s="11"/>
      <c r="I32" s="38"/>
      <c r="J32" s="11"/>
      <c r="K32" s="38"/>
      <c r="L32" s="11"/>
      <c r="M32" s="9">
        <v>-2</v>
      </c>
      <c r="N32" s="37"/>
      <c r="O32" s="37">
        <f>1907655484/3998349</f>
        <v>477.11079848207345</v>
      </c>
      <c r="P32" s="37"/>
      <c r="Q32" s="37">
        <f>1638902117/3006197</f>
        <v>545.17455675725842</v>
      </c>
      <c r="R32" s="37"/>
      <c r="S32" s="37">
        <f>73859056/92330</f>
        <v>799.94645294053942</v>
      </c>
      <c r="T32" s="37"/>
      <c r="U32" s="37">
        <f>1777360185/4322102</f>
        <v>411.2258768997122</v>
      </c>
      <c r="V32" s="37"/>
      <c r="W32" s="11"/>
      <c r="X32" s="11"/>
      <c r="Y32" s="11"/>
    </row>
    <row r="33" spans="1:25" s="1" customFormat="1" ht="11.25" customHeight="1">
      <c r="A33" s="25">
        <v>2002</v>
      </c>
      <c r="B33" s="11"/>
      <c r="C33" s="37">
        <f>23635057822/11255079</f>
        <v>2099.9459730136055</v>
      </c>
      <c r="D33" s="37"/>
      <c r="E33" s="37">
        <f>5987734803/1407175</f>
        <v>4255.145808446</v>
      </c>
      <c r="F33" s="37"/>
      <c r="G33" s="9">
        <v>-2</v>
      </c>
      <c r="H33" s="11"/>
      <c r="I33" s="38"/>
      <c r="J33" s="11"/>
      <c r="K33" s="38"/>
      <c r="L33" s="11"/>
      <c r="M33" s="9">
        <v>-2</v>
      </c>
      <c r="N33" s="37"/>
      <c r="O33" s="37">
        <f>2224306205/4862481</f>
        <v>457.44265221807552</v>
      </c>
      <c r="P33" s="37"/>
      <c r="Q33" s="37">
        <f>1981588851/3466903</f>
        <v>571.57320265378064</v>
      </c>
      <c r="R33" s="37"/>
      <c r="S33" s="37">
        <f>57016206/90989</f>
        <v>626.62746046225368</v>
      </c>
      <c r="T33" s="37"/>
      <c r="U33" s="37">
        <f>2333075357/5146075</f>
        <v>453.36987062955745</v>
      </c>
      <c r="V33" s="37"/>
      <c r="W33" s="11"/>
      <c r="X33" s="11"/>
      <c r="Y33" s="11"/>
    </row>
    <row r="34" spans="1:25" s="1" customFormat="1" ht="11.25" customHeight="1">
      <c r="A34" s="25">
        <v>2003</v>
      </c>
      <c r="B34" s="11"/>
      <c r="C34" s="37">
        <f>26799584882/11691086</f>
        <v>2292.3092758020939</v>
      </c>
      <c r="D34" s="37"/>
      <c r="E34" s="37">
        <f>6499567635/1496858</f>
        <v>4342.1404268140332</v>
      </c>
      <c r="F34" s="37"/>
      <c r="G34" s="9">
        <v>-2</v>
      </c>
      <c r="H34" s="11"/>
      <c r="I34" s="38"/>
      <c r="J34" s="11"/>
      <c r="K34" s="38"/>
      <c r="L34" s="11"/>
      <c r="M34" s="9">
        <v>-2</v>
      </c>
      <c r="N34" s="37"/>
      <c r="O34" s="37">
        <f>2496154070/4877374</f>
        <v>511.78237920651566</v>
      </c>
      <c r="P34" s="37"/>
      <c r="Q34" s="37">
        <f>2262332413/3660938</f>
        <v>617.96523541234512</v>
      </c>
      <c r="R34" s="37"/>
      <c r="S34" s="37">
        <f>56816911/97718</f>
        <v>581.43751407110256</v>
      </c>
      <c r="T34" s="37"/>
      <c r="U34" s="37">
        <f>3049865344/5464104</f>
        <v>558.16385339664112</v>
      </c>
      <c r="V34" s="37"/>
      <c r="W34" s="11"/>
      <c r="X34" s="11"/>
      <c r="Y34" s="11"/>
    </row>
    <row r="35" spans="1:25" s="1" customFormat="1" ht="11.25" customHeight="1">
      <c r="A35" s="25">
        <v>2004</v>
      </c>
      <c r="B35" s="11"/>
      <c r="C35" s="37">
        <f>30720502758/12244425</f>
        <v>2508.9379662989481</v>
      </c>
      <c r="D35" s="37"/>
      <c r="E35" s="37">
        <f>6869999536/1554453</f>
        <v>4419.560794697556</v>
      </c>
      <c r="F35" s="37"/>
      <c r="G35" s="9">
        <v>-2</v>
      </c>
      <c r="H35" s="11"/>
      <c r="I35" s="38"/>
      <c r="J35" s="11"/>
      <c r="K35" s="38"/>
      <c r="L35" s="11"/>
      <c r="M35" s="9">
        <v>-2</v>
      </c>
      <c r="N35" s="37"/>
      <c r="O35" s="37">
        <f>2646834330/4890952</f>
        <v>541.16955758306358</v>
      </c>
      <c r="P35" s="37"/>
      <c r="Q35" s="37">
        <f>2530262176/3717753</f>
        <v>680.58910207321469</v>
      </c>
      <c r="R35" s="37"/>
      <c r="S35" s="37">
        <f>58305017/90306</f>
        <v>645.63835182601383</v>
      </c>
      <c r="T35" s="37"/>
      <c r="U35" s="37">
        <f>3588324667/5723912</f>
        <v>626.90073973883591</v>
      </c>
      <c r="V35" s="37"/>
      <c r="W35" s="11"/>
      <c r="X35" s="11"/>
      <c r="Y35" s="11"/>
    </row>
    <row r="36" spans="1:25" s="1" customFormat="1" ht="11.25" customHeight="1">
      <c r="A36" s="25">
        <v>2005</v>
      </c>
      <c r="B36" s="11"/>
      <c r="C36" s="37">
        <f>32214665932/12461147</f>
        <v>2585.2087237234259</v>
      </c>
      <c r="D36" s="37"/>
      <c r="E36" s="37">
        <f>6812782484/1564882</f>
        <v>4353.5438991566134</v>
      </c>
      <c r="F36" s="37"/>
      <c r="G36" s="9">
        <v>-2</v>
      </c>
      <c r="H36" s="11"/>
      <c r="I36" s="38"/>
      <c r="J36" s="11"/>
      <c r="K36" s="38"/>
      <c r="L36" s="11"/>
      <c r="M36" s="9">
        <v>-2</v>
      </c>
      <c r="N36" s="37"/>
      <c r="O36" s="37">
        <f>3032540961/4903718</f>
        <v>618.41667098311939</v>
      </c>
      <c r="P36" s="37"/>
      <c r="Q36" s="37">
        <f>2372989486/3630548</f>
        <v>653.61743902022499</v>
      </c>
      <c r="R36" s="37"/>
      <c r="S36" s="37">
        <f>58258100/96734</f>
        <v>602.25050137490439</v>
      </c>
      <c r="T36" s="37"/>
      <c r="U36" s="37">
        <f>3670197653/5844433</f>
        <v>627.98181671344332</v>
      </c>
      <c r="V36" s="37"/>
      <c r="W36" s="11"/>
      <c r="X36" s="11"/>
      <c r="Y36" s="11"/>
    </row>
    <row r="37" spans="1:25" s="1" customFormat="1" ht="11.25" customHeight="1">
      <c r="A37" s="25">
        <v>2006</v>
      </c>
      <c r="B37" s="11"/>
      <c r="C37" s="37">
        <f>32682314388/12489750</f>
        <v>2616.7308703536901</v>
      </c>
      <c r="D37" s="37"/>
      <c r="E37" s="37">
        <f>7011187931/1797893</f>
        <v>3899.669185541075</v>
      </c>
      <c r="F37" s="37"/>
      <c r="G37" s="9">
        <v>-2</v>
      </c>
      <c r="H37" s="11"/>
      <c r="I37" s="38"/>
      <c r="J37" s="11"/>
      <c r="K37" s="38"/>
      <c r="L37" s="11"/>
      <c r="M37" s="9">
        <v>-2</v>
      </c>
      <c r="N37" s="37"/>
      <c r="O37" s="37">
        <f>2649621463/4697848</f>
        <v>564.00749087667373</v>
      </c>
      <c r="P37" s="37"/>
      <c r="Q37" s="37">
        <f>2419553974/3611351</f>
        <v>669.98582358790384</v>
      </c>
      <c r="R37" s="37"/>
      <c r="S37" s="37">
        <f>59787440/89815</f>
        <v>665.67321716862443</v>
      </c>
      <c r="T37" s="37"/>
      <c r="U37" s="37">
        <f>3221737876/5624208</f>
        <v>572.83405521275176</v>
      </c>
      <c r="V37" s="37"/>
      <c r="W37" s="11"/>
      <c r="X37" s="11"/>
      <c r="Y37" s="11"/>
    </row>
    <row r="38" spans="1:25" s="1" customFormat="1" ht="11.25" customHeight="1">
      <c r="A38" s="25">
        <v>2007</v>
      </c>
      <c r="B38" s="11"/>
      <c r="C38" s="37">
        <f>34153220739/12405352</f>
        <v>2753.103719991178</v>
      </c>
      <c r="D38" s="37"/>
      <c r="E38" s="37">
        <f>6921808237/1470663</f>
        <v>4706.5903181082276</v>
      </c>
      <c r="F38" s="37"/>
      <c r="G38" s="9">
        <v>-2</v>
      </c>
      <c r="H38" s="11"/>
      <c r="I38" s="38"/>
      <c r="J38" s="11"/>
      <c r="K38" s="38"/>
      <c r="L38" s="11"/>
      <c r="M38" s="9">
        <v>-2</v>
      </c>
      <c r="N38" s="37"/>
      <c r="O38" s="37">
        <f>2414827638/4477302</f>
        <v>539.34883954667339</v>
      </c>
      <c r="P38" s="37"/>
      <c r="Q38" s="37">
        <f>2416623439/3349523</f>
        <v>721.48286158954579</v>
      </c>
      <c r="R38" s="37"/>
      <c r="S38" s="37">
        <f>56994763/88913</f>
        <v>641.01720783237545</v>
      </c>
      <c r="T38" s="37"/>
      <c r="U38" s="37">
        <f>3207452545/5420107</f>
        <v>591.76922983254758</v>
      </c>
      <c r="V38" s="37"/>
      <c r="W38" s="11"/>
      <c r="X38" s="11"/>
      <c r="Y38" s="11"/>
    </row>
    <row r="39" spans="1:25" s="1" customFormat="1" ht="10.15" customHeight="1">
      <c r="A39" s="10" t="s">
        <v>36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</row>
    <row r="40" spans="1:25" s="1" customFormat="1" ht="11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1:25" s="1" customFormat="1" ht="11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1:25" s="1" customFormat="1" ht="11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1:25" s="1" customFormat="1" ht="11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1:25" s="1" customFormat="1" ht="11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</row>
    <row r="45" spans="1:25" s="1" customFormat="1" ht="11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</row>
    <row r="46" spans="1:25" s="2" customFormat="1" ht="15" customHeight="1">
      <c r="A46" s="67" t="s">
        <v>59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"/>
      <c r="X46" s="6"/>
      <c r="Y46" s="6"/>
    </row>
    <row r="47" spans="1:25" s="52" customFormat="1" ht="12.95" customHeight="1">
      <c r="A47" s="64" t="s">
        <v>44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51"/>
      <c r="X47" s="51"/>
      <c r="Y47" s="51"/>
    </row>
    <row r="48" spans="1:25" s="3" customFormat="1" ht="12.95" customHeight="1">
      <c r="A48" s="65" t="s">
        <v>60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7"/>
      <c r="X48" s="7"/>
      <c r="Y48" s="7"/>
    </row>
    <row r="49" spans="1:25" s="1" customFormat="1" ht="10.5" customHeight="1">
      <c r="A49" s="22" t="s">
        <v>0</v>
      </c>
      <c r="B49" s="23"/>
      <c r="C49" s="23"/>
      <c r="D49" s="23"/>
      <c r="E49" s="53" t="s">
        <v>1</v>
      </c>
      <c r="F49" s="23"/>
      <c r="G49" s="23"/>
      <c r="H49" s="23"/>
      <c r="I49" s="23"/>
      <c r="J49" s="23"/>
      <c r="K49" s="24" t="s">
        <v>2</v>
      </c>
      <c r="L49" s="23"/>
      <c r="M49" s="22" t="s">
        <v>37</v>
      </c>
      <c r="N49" s="23"/>
      <c r="O49" s="23"/>
      <c r="P49" s="23"/>
      <c r="Q49" s="24" t="s">
        <v>4</v>
      </c>
      <c r="R49" s="23"/>
      <c r="S49" s="24" t="s">
        <v>5</v>
      </c>
      <c r="T49" s="23"/>
      <c r="U49" s="22" t="s">
        <v>6</v>
      </c>
      <c r="V49" s="23"/>
      <c r="W49" s="11"/>
      <c r="X49" s="11"/>
      <c r="Y49" s="11"/>
    </row>
    <row r="50" spans="1:25" s="1" customFormat="1" ht="13.7" customHeight="1">
      <c r="A50" s="25" t="s">
        <v>7</v>
      </c>
      <c r="B50" s="11"/>
      <c r="C50" s="25" t="s">
        <v>41</v>
      </c>
      <c r="D50" s="11"/>
      <c r="E50" s="54" t="s">
        <v>8</v>
      </c>
      <c r="F50" s="11"/>
      <c r="G50" s="40" t="s">
        <v>9</v>
      </c>
      <c r="H50" s="28"/>
      <c r="I50" s="26" t="s">
        <v>10</v>
      </c>
      <c r="J50" s="11"/>
      <c r="K50" s="26" t="s">
        <v>11</v>
      </c>
      <c r="L50" s="11"/>
      <c r="M50" s="25" t="s">
        <v>39</v>
      </c>
      <c r="N50" s="11"/>
      <c r="O50" s="26" t="s">
        <v>12</v>
      </c>
      <c r="P50" s="11"/>
      <c r="Q50" s="26" t="s">
        <v>8</v>
      </c>
      <c r="R50" s="11"/>
      <c r="S50" s="31" t="s">
        <v>42</v>
      </c>
      <c r="T50" s="11"/>
      <c r="U50" s="54" t="s">
        <v>13</v>
      </c>
      <c r="V50" s="28"/>
      <c r="W50" s="11"/>
      <c r="X50" s="11"/>
      <c r="Y50" s="11"/>
    </row>
    <row r="51" spans="1:25" s="1" customFormat="1" ht="12" customHeight="1">
      <c r="A51" s="33"/>
      <c r="B51" s="33"/>
      <c r="C51" s="55" t="s">
        <v>61</v>
      </c>
      <c r="D51" s="56"/>
      <c r="E51" s="56"/>
      <c r="F51" s="56"/>
      <c r="G51" s="56"/>
      <c r="H51" s="57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8"/>
      <c r="W51" s="11"/>
      <c r="X51" s="11"/>
      <c r="Y51" s="11"/>
    </row>
    <row r="52" spans="1:25" s="1" customFormat="1" ht="11.25" customHeight="1">
      <c r="A52" s="25" t="s">
        <v>14</v>
      </c>
      <c r="B52" s="11"/>
      <c r="C52" s="41">
        <f>C6/0.16627746</f>
        <v>2736.3901276817678</v>
      </c>
      <c r="D52" s="42"/>
      <c r="E52" s="41">
        <f>E6/0.16627746</f>
        <v>6525.2379967796005</v>
      </c>
      <c r="F52" s="42"/>
      <c r="G52" s="9">
        <v>-2</v>
      </c>
      <c r="H52" s="11"/>
      <c r="I52" s="35" t="s">
        <v>15</v>
      </c>
      <c r="J52" s="11"/>
      <c r="K52" s="36" t="s">
        <v>16</v>
      </c>
      <c r="L52" s="11"/>
      <c r="M52" s="9">
        <v>-2</v>
      </c>
      <c r="N52" s="42"/>
      <c r="O52" s="41">
        <f>O6/0.16627746</f>
        <v>697.62913145293419</v>
      </c>
      <c r="P52" s="42"/>
      <c r="Q52" s="41">
        <f>Q6/0.16627746</f>
        <v>342.80052148980388</v>
      </c>
      <c r="R52" s="42"/>
      <c r="S52" s="41">
        <f>S6/0.16627746</f>
        <v>727.6993526362503</v>
      </c>
      <c r="T52" s="42"/>
      <c r="U52" s="41">
        <f>U6/0.16627746</f>
        <v>306.71625606982451</v>
      </c>
      <c r="V52" s="11"/>
      <c r="W52" s="11"/>
      <c r="X52" s="11"/>
      <c r="Y52" s="11"/>
    </row>
    <row r="53" spans="1:25" s="1" customFormat="1" ht="11.25" customHeight="1">
      <c r="A53" s="25" t="s">
        <v>17</v>
      </c>
      <c r="B53" s="11"/>
      <c r="C53" s="43">
        <f>C7/0.18619864</f>
        <v>2572.5214749151764</v>
      </c>
      <c r="D53" s="37"/>
      <c r="E53" s="43">
        <f>E7/0.18619864</f>
        <v>6455.4714255700255</v>
      </c>
      <c r="F53" s="37"/>
      <c r="G53" s="9">
        <v>-2</v>
      </c>
      <c r="H53" s="11"/>
      <c r="I53" s="38" t="s">
        <v>16</v>
      </c>
      <c r="J53" s="11"/>
      <c r="K53" s="38" t="s">
        <v>16</v>
      </c>
      <c r="L53" s="11"/>
      <c r="M53" s="9">
        <v>-2</v>
      </c>
      <c r="N53" s="37"/>
      <c r="O53" s="43">
        <f>O7/0.18619864</f>
        <v>671.3260633912256</v>
      </c>
      <c r="P53" s="37"/>
      <c r="Q53" s="43">
        <f>Q7/0.18619864</f>
        <v>397.4250295276056</v>
      </c>
      <c r="R53" s="37"/>
      <c r="S53" s="43">
        <f>S7/0.18619864</f>
        <v>1525.2528160248646</v>
      </c>
      <c r="T53" s="37"/>
      <c r="U53" s="43">
        <f>U7/0.18619864</f>
        <v>247.04799132797103</v>
      </c>
      <c r="V53" s="11"/>
      <c r="W53" s="11"/>
      <c r="X53" s="11"/>
      <c r="Y53" s="11"/>
    </row>
    <row r="54" spans="1:25" s="1" customFormat="1" ht="11.25" customHeight="1">
      <c r="A54" s="25">
        <v>1977</v>
      </c>
      <c r="B54" s="11"/>
      <c r="C54" s="43">
        <f>C8/0.20407151</f>
        <v>2670.6324660409477</v>
      </c>
      <c r="D54" s="37"/>
      <c r="E54" s="43">
        <f>E8/0.20407151</f>
        <v>6380.1164601565397</v>
      </c>
      <c r="F54" s="37"/>
      <c r="G54" s="9">
        <v>-2</v>
      </c>
      <c r="H54" s="11"/>
      <c r="I54" s="38" t="s">
        <v>16</v>
      </c>
      <c r="J54" s="11"/>
      <c r="K54" s="38" t="s">
        <v>16</v>
      </c>
      <c r="L54" s="11"/>
      <c r="M54" s="9">
        <v>-2</v>
      </c>
      <c r="N54" s="37"/>
      <c r="O54" s="43">
        <f>O8/0.20407151</f>
        <v>646.8320835181745</v>
      </c>
      <c r="P54" s="37"/>
      <c r="Q54" s="43">
        <f>Q8/0.20407151</f>
        <v>578.22868072079245</v>
      </c>
      <c r="R54" s="37"/>
      <c r="S54" s="43">
        <f>S8/0.20407151</f>
        <v>1548.4768059980543</v>
      </c>
      <c r="T54" s="37"/>
      <c r="U54" s="43">
        <f>U8/0.20407151</f>
        <v>245.0121528477934</v>
      </c>
      <c r="V54" s="11"/>
      <c r="W54" s="11"/>
      <c r="X54" s="11"/>
      <c r="Y54" s="11"/>
    </row>
    <row r="55" spans="1:25" s="1" customFormat="1" ht="11.25" customHeight="1">
      <c r="A55" s="25" t="s">
        <v>19</v>
      </c>
      <c r="B55" s="11"/>
      <c r="C55" s="43">
        <f>C9/0.22215957</f>
        <v>2592.7309816093002</v>
      </c>
      <c r="D55" s="37"/>
      <c r="E55" s="43">
        <f>E9/0.22215957</f>
        <v>6319.781767672669</v>
      </c>
      <c r="F55" s="37"/>
      <c r="G55" s="9">
        <v>-2</v>
      </c>
      <c r="H55" s="11"/>
      <c r="I55" s="38" t="s">
        <v>16</v>
      </c>
      <c r="J55" s="11"/>
      <c r="K55" s="38" t="s">
        <v>16</v>
      </c>
      <c r="L55" s="11"/>
      <c r="M55" s="9">
        <v>-2</v>
      </c>
      <c r="N55" s="37"/>
      <c r="O55" s="43">
        <f>O9/0.22215957</f>
        <v>630.17766914114929</v>
      </c>
      <c r="P55" s="37"/>
      <c r="Q55" s="43">
        <f>Q9/0.22215957</f>
        <v>508.64340437821335</v>
      </c>
      <c r="R55" s="37"/>
      <c r="S55" s="43">
        <f>S9/0.22215957</f>
        <v>2057.0799628393229</v>
      </c>
      <c r="T55" s="37"/>
      <c r="U55" s="43">
        <f>U9/0.22215957</f>
        <v>234.06599139528402</v>
      </c>
      <c r="V55" s="11"/>
      <c r="W55" s="11"/>
      <c r="X55" s="11"/>
      <c r="Y55" s="11"/>
    </row>
    <row r="56" spans="1:25" s="1" customFormat="1" ht="11.25" customHeight="1">
      <c r="A56" s="25" t="s">
        <v>20</v>
      </c>
      <c r="B56" s="11"/>
      <c r="C56" s="43">
        <f>C10/0.24096693</f>
        <v>2743.1149992241676</v>
      </c>
      <c r="D56" s="37"/>
      <c r="E56" s="43">
        <f>E10/0.24096693</f>
        <v>6805.9131599510356</v>
      </c>
      <c r="F56" s="37"/>
      <c r="G56" s="9">
        <v>-2</v>
      </c>
      <c r="H56" s="11"/>
      <c r="I56" s="38" t="s">
        <v>16</v>
      </c>
      <c r="J56" s="11"/>
      <c r="K56" s="38" t="s">
        <v>16</v>
      </c>
      <c r="L56" s="11"/>
      <c r="M56" s="9">
        <v>-2</v>
      </c>
      <c r="N56" s="37"/>
      <c r="O56" s="43">
        <f>O10/0.24096693</f>
        <v>630.79195141009598</v>
      </c>
      <c r="P56" s="37"/>
      <c r="Q56" s="43">
        <f>Q10/0.24096693</f>
        <v>527.04327519133017</v>
      </c>
      <c r="R56" s="37"/>
      <c r="S56" s="43">
        <f>S10/0.24096693</f>
        <v>3174.7094922942333</v>
      </c>
      <c r="T56" s="37"/>
      <c r="U56" s="43">
        <f>U10/0.24096693</f>
        <v>253.14676997378854</v>
      </c>
      <c r="V56" s="11"/>
      <c r="W56" s="11"/>
      <c r="X56" s="11"/>
      <c r="Y56" s="11"/>
    </row>
    <row r="57" spans="1:25" s="1" customFormat="1" ht="11.25" customHeight="1">
      <c r="A57" s="25" t="s">
        <v>21</v>
      </c>
      <c r="B57" s="11"/>
      <c r="C57" s="43">
        <f>C11/0.26386094</f>
        <v>2512.6871752977158</v>
      </c>
      <c r="D57" s="37"/>
      <c r="E57" s="43">
        <f>E11/0.26386094</f>
        <v>6340.4610019201782</v>
      </c>
      <c r="F57" s="37"/>
      <c r="G57" s="9">
        <v>-2</v>
      </c>
      <c r="H57" s="11"/>
      <c r="I57" s="38" t="s">
        <v>16</v>
      </c>
      <c r="J57" s="11"/>
      <c r="K57" s="38" t="s">
        <v>16</v>
      </c>
      <c r="L57" s="11"/>
      <c r="M57" s="9">
        <v>-2</v>
      </c>
      <c r="N57" s="37"/>
      <c r="O57" s="43">
        <f>O11/0.26386094</f>
        <v>693.54713888307992</v>
      </c>
      <c r="P57" s="37"/>
      <c r="Q57" s="43">
        <f>Q11/0.26386094</f>
        <v>477.52425955884189</v>
      </c>
      <c r="R57" s="37"/>
      <c r="S57" s="43">
        <f>S11/0.26386094</f>
        <v>955.04851911768378</v>
      </c>
      <c r="T57" s="37"/>
      <c r="U57" s="43">
        <f>U11/0.26386094</f>
        <v>250.13175500701243</v>
      </c>
      <c r="V57" s="11"/>
      <c r="W57" s="11"/>
      <c r="X57" s="11"/>
      <c r="Y57" s="11"/>
    </row>
    <row r="58" spans="1:25" s="1" customFormat="1" ht="11.25" customHeight="1">
      <c r="A58" s="25" t="s">
        <v>22</v>
      </c>
      <c r="B58" s="11"/>
      <c r="C58" s="43">
        <f>C12/0.29497607</f>
        <v>2457.8264941966313</v>
      </c>
      <c r="D58" s="37"/>
      <c r="E58" s="43">
        <f>E12/0.29497607</f>
        <v>6214.0633984309306</v>
      </c>
      <c r="F58" s="37"/>
      <c r="G58" s="9">
        <v>-2</v>
      </c>
      <c r="H58" s="11"/>
      <c r="I58" s="38" t="s">
        <v>16</v>
      </c>
      <c r="J58" s="11"/>
      <c r="K58" s="38" t="s">
        <v>16</v>
      </c>
      <c r="L58" s="11"/>
      <c r="M58" s="9">
        <v>-2</v>
      </c>
      <c r="N58" s="37"/>
      <c r="O58" s="43">
        <f>O12/0.29497607</f>
        <v>654.29036328268944</v>
      </c>
      <c r="P58" s="37"/>
      <c r="Q58" s="43">
        <f>Q12/0.29497607</f>
        <v>532.246564950167</v>
      </c>
      <c r="R58" s="37"/>
      <c r="S58" s="43">
        <f>S12/0.29497607</f>
        <v>1027.2019692987299</v>
      </c>
      <c r="T58" s="37"/>
      <c r="U58" s="43">
        <f>U12/0.29497607</f>
        <v>233.91728013733456</v>
      </c>
      <c r="V58" s="11"/>
      <c r="W58" s="11"/>
      <c r="X58" s="11"/>
      <c r="Y58" s="11"/>
    </row>
    <row r="59" spans="1:25" s="1" customFormat="1" ht="11.25" customHeight="1">
      <c r="A59" s="25" t="s">
        <v>23</v>
      </c>
      <c r="B59" s="11"/>
      <c r="C59" s="43">
        <f>C13/0.32882294</f>
        <v>2323.4388695630541</v>
      </c>
      <c r="D59" s="37"/>
      <c r="E59" s="43">
        <f>E13/0.32882294</f>
        <v>6222.1936218926812</v>
      </c>
      <c r="F59" s="37"/>
      <c r="G59" s="9">
        <v>-2</v>
      </c>
      <c r="H59" s="11"/>
      <c r="I59" s="38" t="s">
        <v>16</v>
      </c>
      <c r="J59" s="11"/>
      <c r="K59" s="38" t="s">
        <v>16</v>
      </c>
      <c r="L59" s="11"/>
      <c r="M59" s="9">
        <v>-2</v>
      </c>
      <c r="N59" s="37"/>
      <c r="O59" s="43">
        <f>O13/0.32882294</f>
        <v>599.10661950775091</v>
      </c>
      <c r="P59" s="37"/>
      <c r="Q59" s="43">
        <f>Q13/0.32882294</f>
        <v>492.66635715865806</v>
      </c>
      <c r="R59" s="37"/>
      <c r="S59" s="43">
        <f>S13/0.32882294</f>
        <v>1070.4849241965903</v>
      </c>
      <c r="T59" s="37"/>
      <c r="U59" s="43">
        <f>U13/0.32882294</f>
        <v>225.04512610951048</v>
      </c>
      <c r="V59" s="11"/>
      <c r="W59" s="11"/>
      <c r="X59" s="11"/>
      <c r="Y59" s="11"/>
    </row>
    <row r="60" spans="1:25" s="1" customFormat="1" ht="11.25" customHeight="1">
      <c r="A60" s="25" t="s">
        <v>24</v>
      </c>
      <c r="B60" s="11"/>
      <c r="C60" s="43">
        <f>C14/0.35693734</f>
        <v>2246.8929700658387</v>
      </c>
      <c r="D60" s="37"/>
      <c r="E60" s="43">
        <f>E14/0.35693734</f>
        <v>6012.2597428445006</v>
      </c>
      <c r="F60" s="37"/>
      <c r="G60" s="9">
        <v>-2</v>
      </c>
      <c r="H60" s="11"/>
      <c r="I60" s="38" t="s">
        <v>16</v>
      </c>
      <c r="J60" s="11"/>
      <c r="K60" s="38" t="s">
        <v>16</v>
      </c>
      <c r="L60" s="11"/>
      <c r="M60" s="9">
        <v>-2</v>
      </c>
      <c r="N60" s="37"/>
      <c r="O60" s="43">
        <f>O14/0.35693734</f>
        <v>554.71921206114212</v>
      </c>
      <c r="P60" s="37"/>
      <c r="Q60" s="43">
        <f>Q14/0.35693734</f>
        <v>476.27407096158669</v>
      </c>
      <c r="R60" s="37"/>
      <c r="S60" s="43">
        <f>S14/0.35693734</f>
        <v>1126.2480972150463</v>
      </c>
      <c r="T60" s="37"/>
      <c r="U60" s="43">
        <f>U14/0.35693734</f>
        <v>218.5257502059045</v>
      </c>
      <c r="V60" s="11"/>
      <c r="W60" s="11"/>
      <c r="X60" s="11"/>
      <c r="Y60" s="11"/>
    </row>
    <row r="61" spans="1:25" s="1" customFormat="1" ht="11.25" customHeight="1">
      <c r="A61" s="25" t="s">
        <v>25</v>
      </c>
      <c r="B61" s="11"/>
      <c r="C61" s="43">
        <f>C15/0.38479272</f>
        <v>2050.4545927999889</v>
      </c>
      <c r="D61" s="37"/>
      <c r="E61" s="43">
        <f>E15/0.38479272</f>
        <v>5792.7291347923638</v>
      </c>
      <c r="F61" s="37"/>
      <c r="G61" s="9">
        <v>-2</v>
      </c>
      <c r="H61" s="11"/>
      <c r="I61" s="38" t="s">
        <v>16</v>
      </c>
      <c r="J61" s="11"/>
      <c r="K61" s="38" t="s">
        <v>16</v>
      </c>
      <c r="L61" s="11"/>
      <c r="M61" s="9">
        <v>-2</v>
      </c>
      <c r="N61" s="37"/>
      <c r="O61" s="43">
        <f>O15/0.38479272</f>
        <v>511.96394775867907</v>
      </c>
      <c r="P61" s="37"/>
      <c r="Q61" s="43">
        <f>Q15/0.38479272</f>
        <v>446.993903626867</v>
      </c>
      <c r="R61" s="37"/>
      <c r="S61" s="43">
        <f>S15/0.38479272</f>
        <v>1068.1075255269902</v>
      </c>
      <c r="T61" s="37"/>
      <c r="U61" s="43">
        <f>U15/0.38479272</f>
        <v>215.70054651761603</v>
      </c>
      <c r="V61" s="11"/>
      <c r="W61" s="11"/>
      <c r="X61" s="11"/>
      <c r="Y61" s="11"/>
    </row>
    <row r="62" spans="1:25" s="1" customFormat="1" ht="11.25" customHeight="1">
      <c r="A62" s="25" t="s">
        <v>26</v>
      </c>
      <c r="B62" s="11"/>
      <c r="C62" s="43">
        <f>C16/0.40629794</f>
        <v>2116.673296448414</v>
      </c>
      <c r="D62" s="37"/>
      <c r="E62" s="43">
        <f>E16/0.40629794</f>
        <v>5793.7778370227516</v>
      </c>
      <c r="F62" s="37"/>
      <c r="G62" s="9">
        <v>-2</v>
      </c>
      <c r="H62" s="11"/>
      <c r="I62" s="38" t="s">
        <v>16</v>
      </c>
      <c r="J62" s="11"/>
      <c r="K62" s="38" t="s">
        <v>16</v>
      </c>
      <c r="L62" s="11"/>
      <c r="M62" s="9">
        <v>-2</v>
      </c>
      <c r="N62" s="37"/>
      <c r="O62" s="43">
        <f>O16/0.40629794</f>
        <v>524.24582807385138</v>
      </c>
      <c r="P62" s="37"/>
      <c r="Q62" s="43">
        <f>Q16/0.40629794</f>
        <v>450.40838750006952</v>
      </c>
      <c r="R62" s="37"/>
      <c r="S62" s="43">
        <f>S16/0.40629794</f>
        <v>1188.7827932378884</v>
      </c>
      <c r="T62" s="37"/>
      <c r="U62" s="43">
        <f>U16/0.40629794</f>
        <v>236.27980983610203</v>
      </c>
      <c r="V62" s="11"/>
      <c r="W62" s="11"/>
      <c r="X62" s="11"/>
      <c r="Y62" s="11"/>
    </row>
    <row r="63" spans="1:25" s="1" customFormat="1" ht="11.25" customHeight="1">
      <c r="A63" s="25" t="s">
        <v>27</v>
      </c>
      <c r="B63" s="11"/>
      <c r="C63" s="43">
        <f>C17/0.42173397</f>
        <v>2048.6848616913644</v>
      </c>
      <c r="D63" s="37"/>
      <c r="E63" s="43">
        <f>E17/0.42173397</f>
        <v>5304.2917078745159</v>
      </c>
      <c r="F63" s="37"/>
      <c r="G63" s="9">
        <v>-2</v>
      </c>
      <c r="H63" s="11"/>
      <c r="I63" s="38" t="s">
        <v>16</v>
      </c>
      <c r="J63" s="11"/>
      <c r="K63" s="38" t="s">
        <v>16</v>
      </c>
      <c r="L63" s="11"/>
      <c r="M63" s="9">
        <v>-2</v>
      </c>
      <c r="N63" s="37"/>
      <c r="O63" s="43">
        <f>O17/0.42173397</f>
        <v>561.96563914450621</v>
      </c>
      <c r="P63" s="37"/>
      <c r="Q63" s="43">
        <f>Q17/0.42173397</f>
        <v>414.95353101387587</v>
      </c>
      <c r="R63" s="37"/>
      <c r="S63" s="43">
        <f>S17/0.42173397</f>
        <v>1026.7135938800473</v>
      </c>
      <c r="T63" s="37"/>
      <c r="U63" s="43">
        <f>U17/0.42173397</f>
        <v>241.85862950523051</v>
      </c>
      <c r="V63" s="11"/>
      <c r="W63" s="11"/>
      <c r="X63" s="11"/>
      <c r="Y63" s="11"/>
    </row>
    <row r="64" spans="1:25" s="1" customFormat="1" ht="11.25" customHeight="1">
      <c r="A64" s="25" t="s">
        <v>28</v>
      </c>
      <c r="B64" s="11"/>
      <c r="C64" s="43">
        <f>C18/0.43799489</f>
        <v>2280.8485277077089</v>
      </c>
      <c r="D64" s="37"/>
      <c r="E64" s="43">
        <f>E18/0.43799489</f>
        <v>5678.1484368459178</v>
      </c>
      <c r="F64" s="37"/>
      <c r="G64" s="9">
        <v>-2</v>
      </c>
      <c r="H64" s="11"/>
      <c r="I64" s="11"/>
      <c r="J64" s="11"/>
      <c r="K64" s="11"/>
      <c r="L64" s="11"/>
      <c r="M64" s="9">
        <v>-2</v>
      </c>
      <c r="N64" s="37"/>
      <c r="O64" s="43">
        <f>O18/0.43799489</f>
        <v>570.78291484176896</v>
      </c>
      <c r="P64" s="37"/>
      <c r="Q64" s="43">
        <f>Q18/0.43799489</f>
        <v>472.60825348898476</v>
      </c>
      <c r="R64" s="37"/>
      <c r="S64" s="43">
        <f>S18/0.43799489</f>
        <v>1047.9574316494879</v>
      </c>
      <c r="T64" s="37"/>
      <c r="U64" s="43">
        <f>U18/0.43799489</f>
        <v>267.1264041459479</v>
      </c>
      <c r="V64" s="11"/>
      <c r="W64" s="11"/>
      <c r="X64" s="11"/>
      <c r="Y64" s="11"/>
    </row>
    <row r="65" spans="1:25" s="1" customFormat="1" ht="11.25" customHeight="1">
      <c r="A65" s="25" t="s">
        <v>29</v>
      </c>
      <c r="B65" s="11"/>
      <c r="C65" s="43">
        <f>C19/0.46780293</f>
        <v>2285.1502875366768</v>
      </c>
      <c r="D65" s="37"/>
      <c r="E65" s="43">
        <f>E19/0.46780293</f>
        <v>5433.9120962752413</v>
      </c>
      <c r="F65" s="37"/>
      <c r="G65" s="9">
        <v>-2</v>
      </c>
      <c r="H65" s="11"/>
      <c r="I65" s="38" t="s">
        <v>16</v>
      </c>
      <c r="J65" s="11"/>
      <c r="K65" s="38" t="s">
        <v>16</v>
      </c>
      <c r="L65" s="11"/>
      <c r="M65" s="9">
        <v>-2</v>
      </c>
      <c r="N65" s="37"/>
      <c r="O65" s="43">
        <f>O19/0.46780293</f>
        <v>581.44142021513198</v>
      </c>
      <c r="P65" s="37"/>
      <c r="Q65" s="43">
        <f>Q19/0.46780293</f>
        <v>495.93532900702439</v>
      </c>
      <c r="R65" s="37"/>
      <c r="S65" s="43">
        <f>S19/0.46780293</f>
        <v>1218.461799715534</v>
      </c>
      <c r="T65" s="37"/>
      <c r="U65" s="43">
        <f>U19/0.46780293</f>
        <v>260.79357818472835</v>
      </c>
      <c r="V65" s="11"/>
      <c r="W65" s="11"/>
      <c r="X65" s="11"/>
      <c r="Y65" s="11"/>
    </row>
    <row r="66" spans="1:25" s="1" customFormat="1" ht="11.25" customHeight="1">
      <c r="A66" s="25" t="s">
        <v>30</v>
      </c>
      <c r="B66" s="11"/>
      <c r="C66" s="43">
        <f>C20/0.50701366</f>
        <v>2378.6341377863469</v>
      </c>
      <c r="D66" s="37"/>
      <c r="E66" s="43">
        <f>E20/0.50701366</f>
        <v>5092.5649616619794</v>
      </c>
      <c r="F66" s="37"/>
      <c r="G66" s="9">
        <v>-2</v>
      </c>
      <c r="H66" s="11"/>
      <c r="I66" s="35" t="s">
        <v>15</v>
      </c>
      <c r="J66" s="11"/>
      <c r="K66" s="36" t="s">
        <v>16</v>
      </c>
      <c r="L66" s="11"/>
      <c r="M66" s="9">
        <v>-2</v>
      </c>
      <c r="N66" s="37"/>
      <c r="O66" s="43">
        <f>O20/0.50701366</f>
        <v>601.56170151313074</v>
      </c>
      <c r="P66" s="37"/>
      <c r="Q66" s="43">
        <f>Q20/0.50701366</f>
        <v>491.1110284484248</v>
      </c>
      <c r="R66" s="37"/>
      <c r="S66" s="43">
        <f>S20/0.50701366</f>
        <v>1226.7914043972701</v>
      </c>
      <c r="T66" s="37"/>
      <c r="U66" s="43">
        <f>U20/0.50701366</f>
        <v>254.43101473834056</v>
      </c>
      <c r="V66" s="11"/>
      <c r="W66" s="11"/>
      <c r="X66" s="11"/>
      <c r="Y66" s="11"/>
    </row>
    <row r="67" spans="1:25" s="1" customFormat="1" ht="11.25" customHeight="1">
      <c r="A67" s="25" t="s">
        <v>31</v>
      </c>
      <c r="B67" s="11"/>
      <c r="C67" s="43">
        <f>C21/0.54597731</f>
        <v>2617.581305713968</v>
      </c>
      <c r="D67" s="37"/>
      <c r="E67" s="43">
        <f>E21/0.54597731</f>
        <v>5292.2345802245882</v>
      </c>
      <c r="F67" s="37"/>
      <c r="G67" s="9">
        <v>-2</v>
      </c>
      <c r="H67" s="11"/>
      <c r="I67" s="38" t="s">
        <v>16</v>
      </c>
      <c r="J67" s="11"/>
      <c r="K67" s="38" t="s">
        <v>16</v>
      </c>
      <c r="L67" s="11"/>
      <c r="M67" s="9">
        <v>-2</v>
      </c>
      <c r="N67" s="37"/>
      <c r="O67" s="43">
        <f>O21/0.54597731</f>
        <v>638.56133508551841</v>
      </c>
      <c r="P67" s="37"/>
      <c r="Q67" s="43">
        <f>Q21/0.54597731</f>
        <v>510.27761574926984</v>
      </c>
      <c r="R67" s="37"/>
      <c r="S67" s="43">
        <f>S21/0.54597731</f>
        <v>1298.2773954470745</v>
      </c>
      <c r="T67" s="37"/>
      <c r="U67" s="43">
        <f>U21/0.54597731</f>
        <v>257.70301699900307</v>
      </c>
      <c r="V67" s="11"/>
      <c r="W67" s="11"/>
      <c r="X67" s="11"/>
      <c r="Y67" s="11"/>
    </row>
    <row r="68" spans="1:25" s="1" customFormat="1" ht="11.25" customHeight="1">
      <c r="A68" s="25" t="s">
        <v>32</v>
      </c>
      <c r="B68" s="11"/>
      <c r="C68" s="43">
        <f>C22/0.58091608</f>
        <v>2676.1524659465445</v>
      </c>
      <c r="D68" s="37"/>
      <c r="E68" s="43">
        <f>E22/0.58091608</f>
        <v>5184.2772195254092</v>
      </c>
      <c r="F68" s="37"/>
      <c r="G68" s="9">
        <v>-2</v>
      </c>
      <c r="H68" s="11"/>
      <c r="I68" s="38" t="s">
        <v>16</v>
      </c>
      <c r="J68" s="11"/>
      <c r="K68" s="38" t="s">
        <v>16</v>
      </c>
      <c r="L68" s="11"/>
      <c r="M68" s="9">
        <v>-2</v>
      </c>
      <c r="N68" s="37"/>
      <c r="O68" s="43">
        <f>O22/0.58091608</f>
        <v>670.06236081466363</v>
      </c>
      <c r="P68" s="37"/>
      <c r="Q68" s="43">
        <f>Q22/0.58091608</f>
        <v>548.70231858618899</v>
      </c>
      <c r="R68" s="37"/>
      <c r="S68" s="43">
        <f>S22/0.58091608</f>
        <v>980.19321482717442</v>
      </c>
      <c r="T68" s="37"/>
      <c r="U68" s="43">
        <f>U22/0.58091608</f>
        <v>254.40851972973448</v>
      </c>
      <c r="V68" s="11"/>
      <c r="W68" s="11"/>
      <c r="X68" s="11"/>
      <c r="Y68" s="11"/>
    </row>
    <row r="69" spans="1:25" s="1" customFormat="1" ht="11.25" customHeight="1">
      <c r="A69" s="25" t="s">
        <v>33</v>
      </c>
      <c r="B69" s="11"/>
      <c r="C69" s="43">
        <f>C23/0.61244366</f>
        <v>2876.9993308445714</v>
      </c>
      <c r="D69" s="37"/>
      <c r="E69" s="43">
        <f>E23/0.61244366</f>
        <v>5301.7121607561421</v>
      </c>
      <c r="F69" s="37"/>
      <c r="G69" s="9">
        <v>-2</v>
      </c>
      <c r="H69" s="11"/>
      <c r="I69" s="38" t="s">
        <v>16</v>
      </c>
      <c r="J69" s="11"/>
      <c r="K69" s="38" t="s">
        <v>16</v>
      </c>
      <c r="L69" s="11"/>
      <c r="M69" s="9">
        <v>-2</v>
      </c>
      <c r="N69" s="37"/>
      <c r="O69" s="43">
        <f>O23/0.61244366</f>
        <v>680.87895627819876</v>
      </c>
      <c r="P69" s="37"/>
      <c r="Q69" s="43">
        <f>Q23/0.61244366</f>
        <v>615.56682617957063</v>
      </c>
      <c r="R69" s="37"/>
      <c r="S69" s="43">
        <f>S23/0.61244366</f>
        <v>1288.2817661954409</v>
      </c>
      <c r="T69" s="37"/>
      <c r="U69" s="43">
        <f>U23/0.61244366</f>
        <v>262.88132364697844</v>
      </c>
      <c r="V69" s="11"/>
      <c r="W69" s="11"/>
      <c r="X69" s="11"/>
      <c r="Y69" s="11"/>
    </row>
    <row r="70" spans="1:25" s="1" customFormat="1" ht="11.25" customHeight="1">
      <c r="A70" s="25" t="s">
        <v>34</v>
      </c>
      <c r="B70" s="11"/>
      <c r="C70" s="43">
        <f>C24/0.64295108</f>
        <v>2819.8101790263731</v>
      </c>
      <c r="D70" s="37"/>
      <c r="E70" s="43">
        <f>E24/0.64295108</f>
        <v>5277.2288678634768</v>
      </c>
      <c r="F70" s="37"/>
      <c r="G70" s="9">
        <v>-2</v>
      </c>
      <c r="H70" s="11"/>
      <c r="I70" s="38" t="s">
        <v>16</v>
      </c>
      <c r="J70" s="11"/>
      <c r="K70" s="38" t="s">
        <v>16</v>
      </c>
      <c r="L70" s="11"/>
      <c r="M70" s="9">
        <v>-2</v>
      </c>
      <c r="N70" s="37"/>
      <c r="O70" s="43">
        <f>O24/0.64295108</f>
        <v>657.90386416335127</v>
      </c>
      <c r="P70" s="37"/>
      <c r="Q70" s="43">
        <f>Q24/0.64295108</f>
        <v>629.90795505001722</v>
      </c>
      <c r="R70" s="37"/>
      <c r="S70" s="43">
        <f>S24/0.64295108</f>
        <v>1189.826137316699</v>
      </c>
      <c r="T70" s="37"/>
      <c r="U70" s="43">
        <f>U24/0.64295108</f>
        <v>264.40580829259977</v>
      </c>
      <c r="V70" s="11"/>
      <c r="W70" s="11"/>
      <c r="X70" s="11"/>
      <c r="Y70" s="11"/>
    </row>
    <row r="71" spans="1:25" s="1" customFormat="1" ht="11.25" customHeight="1">
      <c r="A71" s="25" t="s">
        <v>35</v>
      </c>
      <c r="B71" s="11"/>
      <c r="C71" s="43">
        <f>C25/0.66950733</f>
        <v>2675.1014062833337</v>
      </c>
      <c r="D71" s="37"/>
      <c r="E71" s="43">
        <f>E25/0.66950733</f>
        <v>5153.04290992602</v>
      </c>
      <c r="F71" s="37"/>
      <c r="G71" s="9">
        <v>-2</v>
      </c>
      <c r="H71" s="11"/>
      <c r="I71" s="38" t="s">
        <v>16</v>
      </c>
      <c r="J71" s="11"/>
      <c r="K71" s="38" t="s">
        <v>16</v>
      </c>
      <c r="L71" s="11"/>
      <c r="M71" s="9">
        <v>-2</v>
      </c>
      <c r="N71" s="37"/>
      <c r="O71" s="43">
        <f>O25/0.66950733</f>
        <v>627.32696294751554</v>
      </c>
      <c r="P71" s="37"/>
      <c r="Q71" s="43">
        <f>Q25/0.66950733</f>
        <v>603.42879293046724</v>
      </c>
      <c r="R71" s="37"/>
      <c r="S71" s="43">
        <f>S25/0.66950733</f>
        <v>945.4713512994698</v>
      </c>
      <c r="T71" s="37"/>
      <c r="U71" s="43">
        <f>U25/0.66950733</f>
        <v>267.36077706572684</v>
      </c>
      <c r="V71" s="37"/>
      <c r="W71" s="11"/>
      <c r="X71" s="11"/>
      <c r="Y71" s="11"/>
    </row>
    <row r="72" spans="1:25" s="1" customFormat="1" ht="11.25" customHeight="1">
      <c r="A72" s="25">
        <v>1995</v>
      </c>
      <c r="B72" s="11"/>
      <c r="C72" s="43">
        <f>C26/0.69605562</f>
        <v>2552.9569030704761</v>
      </c>
      <c r="D72" s="37"/>
      <c r="E72" s="43">
        <f>E26/0.69605562</f>
        <v>4972.3037937686649</v>
      </c>
      <c r="F72" s="37"/>
      <c r="G72" s="9">
        <v>-2</v>
      </c>
      <c r="H72" s="11"/>
      <c r="I72" s="38" t="s">
        <v>16</v>
      </c>
      <c r="J72" s="11"/>
      <c r="K72" s="38" t="s">
        <v>16</v>
      </c>
      <c r="L72" s="11"/>
      <c r="M72" s="9">
        <v>-2</v>
      </c>
      <c r="N72" s="37"/>
      <c r="O72" s="43">
        <f>O26/0.69605562</f>
        <v>609.14672307365322</v>
      </c>
      <c r="P72" s="37"/>
      <c r="Q72" s="43">
        <f>Q26/0.69605562</f>
        <v>578.97672027991098</v>
      </c>
      <c r="R72" s="37"/>
      <c r="S72" s="43">
        <f>S26/0.69605562</f>
        <v>816.02674223074303</v>
      </c>
      <c r="T72" s="37"/>
      <c r="U72" s="43">
        <f>U26/0.69605562</f>
        <v>271.53002514368035</v>
      </c>
      <c r="V72" s="37"/>
      <c r="W72" s="11"/>
      <c r="X72" s="11"/>
      <c r="Y72" s="11"/>
    </row>
    <row r="73" spans="1:25" s="1" customFormat="1" ht="11.25" customHeight="1">
      <c r="A73" s="22">
        <v>1996</v>
      </c>
      <c r="B73" s="11"/>
      <c r="C73" s="43">
        <f>C27/0.71553844</f>
        <v>2406.5793027136319</v>
      </c>
      <c r="D73" s="37"/>
      <c r="E73" s="43">
        <f>E27/0.71553844</f>
        <v>4829.9291929026203</v>
      </c>
      <c r="F73" s="37"/>
      <c r="G73" s="9">
        <v>-2</v>
      </c>
      <c r="H73" s="11"/>
      <c r="I73" s="38" t="s">
        <v>16</v>
      </c>
      <c r="J73" s="11"/>
      <c r="K73" s="38" t="s">
        <v>16</v>
      </c>
      <c r="L73" s="11"/>
      <c r="M73" s="9">
        <v>-2</v>
      </c>
      <c r="N73" s="37"/>
      <c r="O73" s="43">
        <f>O27/0.71553844</f>
        <v>599.54850224398842</v>
      </c>
      <c r="P73" s="37"/>
      <c r="Q73" s="43">
        <f>Q27/0.71553844</f>
        <v>556.22448459931798</v>
      </c>
      <c r="R73" s="37"/>
      <c r="S73" s="43">
        <f>S27/0.71553844</f>
        <v>754.67643639103437</v>
      </c>
      <c r="T73" s="37"/>
      <c r="U73" s="43">
        <f>U27/0.71553844</f>
        <v>275.31714438709957</v>
      </c>
      <c r="V73" s="37"/>
      <c r="W73" s="11"/>
      <c r="X73" s="11"/>
      <c r="Y73" s="11"/>
    </row>
    <row r="74" spans="1:25" s="1" customFormat="1" ht="11.25" customHeight="1">
      <c r="A74" s="22">
        <v>1997</v>
      </c>
      <c r="B74" s="11"/>
      <c r="C74" s="43">
        <f>C28/0.73399711</f>
        <v>2464.7287159361799</v>
      </c>
      <c r="D74" s="37"/>
      <c r="E74" s="43">
        <f>E28/0.73399711</f>
        <v>4978.2212357757107</v>
      </c>
      <c r="F74" s="37"/>
      <c r="G74" s="9">
        <v>-2</v>
      </c>
      <c r="H74" s="11"/>
      <c r="I74" s="38" t="s">
        <v>16</v>
      </c>
      <c r="J74" s="11"/>
      <c r="K74" s="38" t="s">
        <v>16</v>
      </c>
      <c r="L74" s="11"/>
      <c r="M74" s="9">
        <v>-2</v>
      </c>
      <c r="N74" s="37"/>
      <c r="O74" s="43">
        <f>O28/0.73399711</f>
        <v>664.85275398427655</v>
      </c>
      <c r="P74" s="37"/>
      <c r="Q74" s="43">
        <f>Q28/0.73399711</f>
        <v>579.02135336745403</v>
      </c>
      <c r="R74" s="37"/>
      <c r="S74" s="43">
        <f>S28/0.73399711</f>
        <v>809.26749153004153</v>
      </c>
      <c r="T74" s="37"/>
      <c r="U74" s="43">
        <f>U28/0.73399711</f>
        <v>307.90311967304615</v>
      </c>
      <c r="V74" s="37"/>
      <c r="W74" s="11"/>
      <c r="X74" s="11"/>
      <c r="Y74" s="11"/>
    </row>
    <row r="75" spans="1:25" s="1" customFormat="1" ht="11.25" customHeight="1">
      <c r="A75" s="22">
        <v>1998</v>
      </c>
      <c r="B75" s="11"/>
      <c r="C75" s="43">
        <f>C29/0.75178031</f>
        <v>2504.3180433274006</v>
      </c>
      <c r="D75" s="37"/>
      <c r="E75" s="43">
        <f>E29/0.75178031</f>
        <v>4923.8758657197095</v>
      </c>
      <c r="F75" s="37"/>
      <c r="G75" s="9">
        <v>-2</v>
      </c>
      <c r="H75" s="11"/>
      <c r="I75" s="38" t="s">
        <v>16</v>
      </c>
      <c r="J75" s="11"/>
      <c r="K75" s="38" t="s">
        <v>16</v>
      </c>
      <c r="L75" s="11"/>
      <c r="M75" s="9">
        <v>-2</v>
      </c>
      <c r="N75" s="37"/>
      <c r="O75" s="43">
        <f>O29/0.75178031</f>
        <v>608.33471075583554</v>
      </c>
      <c r="P75" s="37"/>
      <c r="Q75" s="43">
        <f>Q29/0.75178031</f>
        <v>587.4337045553176</v>
      </c>
      <c r="R75" s="37"/>
      <c r="S75" s="43">
        <f>S29/0.75178031</f>
        <v>676.84283769501553</v>
      </c>
      <c r="T75" s="37"/>
      <c r="U75" s="43">
        <f>U29/0.75178031</f>
        <v>347.11952269801594</v>
      </c>
      <c r="V75" s="37"/>
      <c r="W75" s="11"/>
      <c r="X75" s="11"/>
      <c r="Y75" s="11"/>
    </row>
    <row r="76" spans="1:25" s="46" customFormat="1" ht="11.25" customHeight="1">
      <c r="A76" s="22">
        <v>1999</v>
      </c>
      <c r="B76" s="11"/>
      <c r="C76" s="44">
        <f>C30/0.769701</f>
        <v>2733.289606223153</v>
      </c>
      <c r="D76" s="45"/>
      <c r="E76" s="44">
        <f>E30/0.769701</f>
        <v>4947.2352936666275</v>
      </c>
      <c r="F76" s="37"/>
      <c r="G76" s="9">
        <v>-2</v>
      </c>
      <c r="H76" s="11"/>
      <c r="I76" s="38" t="s">
        <v>16</v>
      </c>
      <c r="J76" s="11"/>
      <c r="K76" s="38" t="s">
        <v>16</v>
      </c>
      <c r="L76" s="11"/>
      <c r="M76" s="9">
        <v>-2</v>
      </c>
      <c r="N76" s="37"/>
      <c r="O76" s="44">
        <f>O30/0.769701</f>
        <v>660.33556550489197</v>
      </c>
      <c r="P76" s="45"/>
      <c r="Q76" s="44">
        <f>Q30/0.769701</f>
        <v>635.48315090235189</v>
      </c>
      <c r="R76" s="45"/>
      <c r="S76" s="44">
        <f>S30/0.769701</f>
        <v>932.89276454506637</v>
      </c>
      <c r="T76" s="45"/>
      <c r="U76" s="44">
        <f>U30/0.769701</f>
        <v>435.81020320825553</v>
      </c>
      <c r="V76" s="45"/>
      <c r="W76" s="23"/>
      <c r="X76" s="23"/>
      <c r="Y76" s="23"/>
    </row>
    <row r="77" spans="1:25" s="46" customFormat="1" ht="11.25" customHeight="1">
      <c r="A77" s="22">
        <v>2000</v>
      </c>
      <c r="B77" s="23"/>
      <c r="C77" s="44">
        <f>C31/0.79085156</f>
        <v>2567.0041325526436</v>
      </c>
      <c r="D77" s="45"/>
      <c r="E77" s="44">
        <f>E31/0.79085156</f>
        <v>4753.5726005613224</v>
      </c>
      <c r="F77" s="45"/>
      <c r="G77" s="12">
        <v>-2</v>
      </c>
      <c r="H77" s="23"/>
      <c r="I77" s="47" t="s">
        <v>16</v>
      </c>
      <c r="J77" s="23"/>
      <c r="K77" s="47" t="s">
        <v>16</v>
      </c>
      <c r="L77" s="23"/>
      <c r="M77" s="12">
        <v>-2</v>
      </c>
      <c r="N77" s="45"/>
      <c r="O77" s="44">
        <f>O31/0.79085156</f>
        <v>599.39833014095109</v>
      </c>
      <c r="P77" s="45"/>
      <c r="Q77" s="44">
        <f>Q31/0.79085156</f>
        <v>653.07835222955748</v>
      </c>
      <c r="R77" s="45"/>
      <c r="S77" s="44">
        <f>S31/0.79085156</f>
        <v>811.13187258820994</v>
      </c>
      <c r="T77" s="45"/>
      <c r="U77" s="44">
        <f>U31/0.79085156</f>
        <v>460.88778956181238</v>
      </c>
      <c r="V77" s="45"/>
      <c r="W77" s="23"/>
      <c r="X77" s="23"/>
      <c r="Y77" s="23"/>
    </row>
    <row r="78" spans="1:25" s="46" customFormat="1" ht="11.25" customHeight="1">
      <c r="A78" s="22">
        <v>2001</v>
      </c>
      <c r="B78" s="23"/>
      <c r="C78" s="44">
        <f>C32/0.81892213</f>
        <v>2523.9876055359737</v>
      </c>
      <c r="D78" s="45"/>
      <c r="E78" s="44">
        <f>E32/0.81892213</f>
        <v>4834.4021285314184</v>
      </c>
      <c r="F78" s="45"/>
      <c r="G78" s="12">
        <v>-2</v>
      </c>
      <c r="H78" s="23"/>
      <c r="I78" s="47"/>
      <c r="J78" s="23"/>
      <c r="K78" s="47"/>
      <c r="L78" s="23"/>
      <c r="M78" s="12">
        <v>-2</v>
      </c>
      <c r="N78" s="45"/>
      <c r="O78" s="44">
        <f>O32/0.81892213</f>
        <v>582.60826152307482</v>
      </c>
      <c r="P78" s="45"/>
      <c r="Q78" s="44">
        <f>Q32/0.81892213</f>
        <v>665.72209589360887</v>
      </c>
      <c r="R78" s="45"/>
      <c r="S78" s="44">
        <f>S32/0.81892213</f>
        <v>976.82847200690424</v>
      </c>
      <c r="T78" s="45"/>
      <c r="U78" s="44">
        <f>U32/0.81892213</f>
        <v>502.15504238444771</v>
      </c>
      <c r="V78" s="45"/>
      <c r="W78" s="23"/>
      <c r="X78" s="23"/>
      <c r="Y78" s="23"/>
    </row>
    <row r="79" spans="1:25" s="46" customFormat="1" ht="11.25" customHeight="1">
      <c r="A79" s="22">
        <v>2002</v>
      </c>
      <c r="B79" s="23"/>
      <c r="C79" s="44">
        <f>C33/0.84026596</f>
        <v>2499.144405437542</v>
      </c>
      <c r="D79" s="45"/>
      <c r="E79" s="44">
        <f>E33/0.84026596</f>
        <v>5064.0463984117605</v>
      </c>
      <c r="F79" s="45"/>
      <c r="G79" s="12">
        <v>-2</v>
      </c>
      <c r="H79" s="23"/>
      <c r="I79" s="47"/>
      <c r="J79" s="23"/>
      <c r="K79" s="47"/>
      <c r="L79" s="23"/>
      <c r="M79" s="12">
        <v>-2</v>
      </c>
      <c r="N79" s="45"/>
      <c r="O79" s="44">
        <f>O33/0.84026596</f>
        <v>544.40221786215818</v>
      </c>
      <c r="P79" s="45"/>
      <c r="Q79" s="44">
        <f>Q33/0.84026596</f>
        <v>680.22891544217816</v>
      </c>
      <c r="R79" s="45"/>
      <c r="S79" s="44">
        <f>S33/0.84026596</f>
        <v>745.74895365540419</v>
      </c>
      <c r="T79" s="45"/>
      <c r="U79" s="44">
        <f>U33/0.84026596</f>
        <v>539.55520300924422</v>
      </c>
      <c r="V79" s="45"/>
      <c r="W79" s="23"/>
      <c r="X79" s="23"/>
      <c r="Y79" s="23"/>
    </row>
    <row r="80" spans="1:25" s="46" customFormat="1" ht="11.25" customHeight="1">
      <c r="A80" s="22">
        <v>2003</v>
      </c>
      <c r="B80" s="23"/>
      <c r="C80" s="44">
        <f>C34/0.86875496</f>
        <v>2638.6143174389404</v>
      </c>
      <c r="D80" s="45"/>
      <c r="E80" s="44">
        <f>E34/0.86875496</f>
        <v>4998.1187178649698</v>
      </c>
      <c r="F80" s="45"/>
      <c r="G80" s="12">
        <v>-2</v>
      </c>
      <c r="H80" s="23"/>
      <c r="I80" s="47"/>
      <c r="J80" s="23"/>
      <c r="K80" s="47"/>
      <c r="L80" s="23"/>
      <c r="M80" s="12">
        <v>-2</v>
      </c>
      <c r="N80" s="45"/>
      <c r="O80" s="44">
        <f>O34/0.86875496</f>
        <v>589.09865585862747</v>
      </c>
      <c r="P80" s="45"/>
      <c r="Q80" s="44">
        <f>Q34/0.86875496</f>
        <v>711.32282849049307</v>
      </c>
      <c r="R80" s="45"/>
      <c r="S80" s="44">
        <f>S34/0.86875496</f>
        <v>669.27677059950554</v>
      </c>
      <c r="T80" s="45"/>
      <c r="U80" s="44">
        <f>U34/0.86875496</f>
        <v>642.48709831439828</v>
      </c>
      <c r="V80" s="45"/>
      <c r="W80" s="23"/>
      <c r="X80" s="23"/>
      <c r="Y80" s="23"/>
    </row>
    <row r="81" spans="1:25" s="46" customFormat="1" ht="11.25" customHeight="1">
      <c r="A81" s="22">
        <v>2004</v>
      </c>
      <c r="B81" s="23"/>
      <c r="C81" s="44">
        <f>C35/0.90598113</f>
        <v>2769.304881989041</v>
      </c>
      <c r="D81" s="45"/>
      <c r="E81" s="44">
        <f>E35/0.90598113</f>
        <v>4878.204024732343</v>
      </c>
      <c r="F81" s="45"/>
      <c r="G81" s="12">
        <v>-2</v>
      </c>
      <c r="H81" s="23"/>
      <c r="I81" s="47"/>
      <c r="J81" s="23"/>
      <c r="K81" s="47"/>
      <c r="L81" s="23"/>
      <c r="M81" s="12">
        <v>-2</v>
      </c>
      <c r="N81" s="45"/>
      <c r="O81" s="44">
        <f>O35/0.90598113</f>
        <v>597.32983355079762</v>
      </c>
      <c r="P81" s="45"/>
      <c r="Q81" s="44">
        <f>Q35/0.90598113</f>
        <v>751.21774564246687</v>
      </c>
      <c r="R81" s="45"/>
      <c r="S81" s="44">
        <f>S35/0.90598113</f>
        <v>712.63995512358383</v>
      </c>
      <c r="T81" s="45"/>
      <c r="U81" s="44">
        <f>U35/0.90598113</f>
        <v>691.95783331473569</v>
      </c>
      <c r="V81" s="45"/>
      <c r="W81" s="23"/>
      <c r="X81" s="23"/>
      <c r="Y81" s="23"/>
    </row>
    <row r="82" spans="1:25" s="46" customFormat="1" ht="11.25" customHeight="1">
      <c r="A82" s="63">
        <v>2005</v>
      </c>
      <c r="B82" s="23"/>
      <c r="C82" s="44">
        <f>C36/0.93732541</f>
        <v>2758.0696054355612</v>
      </c>
      <c r="D82" s="45"/>
      <c r="E82" s="44">
        <f>E36/0.93732541</f>
        <v>4644.6451282661947</v>
      </c>
      <c r="F82" s="45"/>
      <c r="G82" s="12">
        <v>-2</v>
      </c>
      <c r="H82" s="23"/>
      <c r="I82" s="47"/>
      <c r="J82" s="23"/>
      <c r="K82" s="47"/>
      <c r="L82" s="23"/>
      <c r="M82" s="12">
        <v>-2</v>
      </c>
      <c r="N82" s="45"/>
      <c r="O82" s="44">
        <f>O36/0.93732541</f>
        <v>659.76731707627494</v>
      </c>
      <c r="P82" s="45"/>
      <c r="Q82" s="44">
        <f>Q36/0.93732541</f>
        <v>697.32179672823008</v>
      </c>
      <c r="R82" s="45"/>
      <c r="S82" s="44">
        <f>S36/0.93732541</f>
        <v>642.52019090670376</v>
      </c>
      <c r="T82" s="45"/>
      <c r="U82" s="44">
        <f>U36/0.93732541</f>
        <v>669.97203960729428</v>
      </c>
      <c r="V82" s="45"/>
      <c r="W82" s="23"/>
      <c r="X82" s="23"/>
      <c r="Y82" s="23"/>
    </row>
    <row r="83" spans="1:25" s="46" customFormat="1" ht="11.25" customHeight="1">
      <c r="A83" s="63">
        <v>2006</v>
      </c>
      <c r="B83" s="23"/>
      <c r="C83" s="44">
        <f>C37/0.96654964</f>
        <v>2707.290719547203</v>
      </c>
      <c r="D83" s="45"/>
      <c r="E83" s="44">
        <f>E37/0.96654964</f>
        <v>4034.6289772981295</v>
      </c>
      <c r="F83" s="45"/>
      <c r="G83" s="12">
        <v>-2</v>
      </c>
      <c r="H83" s="23"/>
      <c r="I83" s="47"/>
      <c r="J83" s="23"/>
      <c r="K83" s="47"/>
      <c r="L83" s="23"/>
      <c r="M83" s="12">
        <v>-2</v>
      </c>
      <c r="N83" s="45"/>
      <c r="O83" s="44">
        <f>O37/0.96654964</f>
        <v>583.52666799055839</v>
      </c>
      <c r="P83" s="45"/>
      <c r="Q83" s="44">
        <f>Q37/0.96654964</f>
        <v>693.17269994317508</v>
      </c>
      <c r="R83" s="45"/>
      <c r="S83" s="44">
        <f>S37/0.96654964</f>
        <v>688.71084279605589</v>
      </c>
      <c r="T83" s="45"/>
      <c r="U83" s="44">
        <f>U37/0.96654964</f>
        <v>592.6587021570374</v>
      </c>
      <c r="V83" s="45"/>
      <c r="W83" s="23"/>
      <c r="X83" s="23"/>
      <c r="Y83" s="23"/>
    </row>
    <row r="84" spans="1:25" s="46" customFormat="1" ht="11.25" customHeight="1">
      <c r="A84" s="59">
        <v>2007</v>
      </c>
      <c r="B84" s="28"/>
      <c r="C84" s="48">
        <f>C38/1</f>
        <v>2753.103719991178</v>
      </c>
      <c r="D84" s="49"/>
      <c r="E84" s="48">
        <f>E38/1</f>
        <v>4706.5903181082276</v>
      </c>
      <c r="F84" s="49"/>
      <c r="G84" s="13">
        <v>-2</v>
      </c>
      <c r="H84" s="28"/>
      <c r="I84" s="50"/>
      <c r="J84" s="28"/>
      <c r="K84" s="50"/>
      <c r="L84" s="28"/>
      <c r="M84" s="13">
        <v>-2</v>
      </c>
      <c r="N84" s="49"/>
      <c r="O84" s="48">
        <f>O38/1</f>
        <v>539.34883954667339</v>
      </c>
      <c r="P84" s="49"/>
      <c r="Q84" s="48">
        <f>Q38/1</f>
        <v>721.48286158954579</v>
      </c>
      <c r="R84" s="49"/>
      <c r="S84" s="48">
        <f>S38/1</f>
        <v>641.01720783237545</v>
      </c>
      <c r="T84" s="49"/>
      <c r="U84" s="48">
        <f>U38/1</f>
        <v>591.76922983254758</v>
      </c>
      <c r="V84" s="49"/>
      <c r="W84" s="23"/>
      <c r="X84" s="23"/>
      <c r="Y84" s="23"/>
    </row>
    <row r="85" spans="1:25" s="4" customFormat="1" ht="9.6" customHeight="1">
      <c r="A85" s="14" t="s">
        <v>45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7"/>
    </row>
    <row r="86" spans="1:25" s="4" customFormat="1" ht="9.6" customHeight="1">
      <c r="A86" s="60" t="s">
        <v>46</v>
      </c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7"/>
    </row>
    <row r="87" spans="1:25" s="4" customFormat="1" ht="9.6" customHeight="1">
      <c r="A87" s="16" t="s">
        <v>47</v>
      </c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5" s="4" customFormat="1" ht="9.6" customHeight="1">
      <c r="A88" s="61" t="s">
        <v>48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5" s="5" customFormat="1" ht="9.6" customHeight="1">
      <c r="A89" s="14" t="s">
        <v>49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5" s="5" customFormat="1" ht="9.6" customHeight="1">
      <c r="A90" s="18" t="s">
        <v>50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5" s="5" customFormat="1" ht="9.6" customHeight="1">
      <c r="A91" s="21" t="s">
        <v>51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5" s="5" customFormat="1" ht="9.6" customHeight="1">
      <c r="A92" s="21" t="s">
        <v>52</v>
      </c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5" s="4" customFormat="1" ht="6" customHeight="1">
      <c r="A93" s="18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5" ht="9.6" customHeight="1">
      <c r="A94" s="19" t="s">
        <v>53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ht="9.6" customHeight="1">
      <c r="A95" s="21" t="s">
        <v>54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ht="9.6" customHeight="1">
      <c r="A96" s="21" t="s">
        <v>62</v>
      </c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ht="9.6" customHeight="1">
      <c r="A97" s="21" t="s">
        <v>55</v>
      </c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ht="6" customHeight="1">
      <c r="A98" s="20" t="s">
        <v>0</v>
      </c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s="62" customFormat="1" ht="9.6" customHeight="1">
      <c r="A99" s="20" t="s">
        <v>56</v>
      </c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s="62" customFormat="1" ht="9.6" customHeight="1">
      <c r="A100" s="21" t="s">
        <v>57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ht="9.6" customHeight="1">
      <c r="A101" s="21" t="s">
        <v>58</v>
      </c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</sheetData>
  <mergeCells count="6">
    <mergeCell ref="A47:V47"/>
    <mergeCell ref="A48:V48"/>
    <mergeCell ref="A1:V1"/>
    <mergeCell ref="A2:V2"/>
    <mergeCell ref="A3:V3"/>
    <mergeCell ref="A46:V46"/>
  </mergeCells>
  <phoneticPr fontId="2" type="noConversion"/>
  <printOptions gridLinesSet="0"/>
  <pageMargins left="0.8" right="0.8" top="1" bottom="0.5" header="0.5" footer="0.5"/>
  <pageSetup firstPageNumber="232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5" max="21" man="1"/>
  </rowBreaks>
  <ignoredErrors>
    <ignoredError sqref="P55:P79 V52:V53 P54 P52:P53 T54 R54 V54 R52:R53 D54 R55:R79 T52:T53 V55:V79 T55:T7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TABLE13.14</vt:lpstr>
      <vt:lpstr>TABLE13.14!Print_Area</vt:lpstr>
      <vt:lpstr>Print_Area</vt:lpstr>
      <vt:lpstr>TABLE13.14!Print_Area_MI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2010-03-08T20:05:20Z</cp:lastPrinted>
  <dcterms:created xsi:type="dcterms:W3CDTF">1999-10-08T13:43:12Z</dcterms:created>
  <dcterms:modified xsi:type="dcterms:W3CDTF">2010-03-08T20:29:00Z</dcterms:modified>
</cp:coreProperties>
</file>