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/>
  </bookViews>
  <sheets>
    <sheet name="TABLE13.15" sheetId="1" r:id="rId1"/>
  </sheets>
  <definedNames>
    <definedName name="_Regression_Int" localSheetId="0" hidden="1">1</definedName>
    <definedName name="_xlnm.Print_Area" localSheetId="0">TABLE13.15!$A$1:$V$103</definedName>
    <definedName name="_xlnm.Print_Area">TABLE13.15!$A$1:$U$100</definedName>
    <definedName name="Print_Area_MI" localSheetId="0">TABLE13.15!$A$1:$V$100</definedName>
  </definedNames>
  <calcPr calcId="125725"/>
</workbook>
</file>

<file path=xl/calcChain.xml><?xml version="1.0" encoding="utf-8"?>
<calcChain xmlns="http://schemas.openxmlformats.org/spreadsheetml/2006/main">
  <c r="U38" i="1"/>
  <c r="S38"/>
  <c r="Q38"/>
  <c r="O38"/>
  <c r="M38"/>
  <c r="G38"/>
  <c r="E38"/>
  <c r="C38"/>
  <c r="U83"/>
  <c r="S83"/>
  <c r="Q83"/>
  <c r="O83"/>
  <c r="M83"/>
  <c r="G83"/>
  <c r="E83"/>
  <c r="C83"/>
  <c r="U82"/>
  <c r="S82"/>
  <c r="Q82"/>
  <c r="O82"/>
  <c r="M82"/>
  <c r="G82"/>
  <c r="E82"/>
  <c r="C82"/>
  <c r="U81"/>
  <c r="S81"/>
  <c r="Q81"/>
  <c r="O81"/>
  <c r="M81"/>
  <c r="G81"/>
  <c r="E81"/>
  <c r="C81"/>
  <c r="U80"/>
  <c r="S80"/>
  <c r="Q80"/>
  <c r="O80"/>
  <c r="M80"/>
  <c r="G80"/>
  <c r="E80"/>
  <c r="C80"/>
  <c r="U79"/>
  <c r="S79"/>
  <c r="Q79"/>
  <c r="O79"/>
  <c r="M79"/>
  <c r="G79"/>
  <c r="E79"/>
  <c r="C79"/>
  <c r="U78"/>
  <c r="S78"/>
  <c r="Q78"/>
  <c r="O78"/>
  <c r="M78"/>
  <c r="G78"/>
  <c r="E78"/>
  <c r="C78"/>
  <c r="U77"/>
  <c r="S77"/>
  <c r="Q77"/>
  <c r="O77"/>
  <c r="M77"/>
  <c r="G77"/>
  <c r="E77"/>
  <c r="C77"/>
  <c r="U76"/>
  <c r="S76"/>
  <c r="Q76"/>
  <c r="O76"/>
  <c r="M76"/>
  <c r="G76"/>
  <c r="E76"/>
  <c r="C76"/>
  <c r="U75"/>
  <c r="S75"/>
  <c r="Q75"/>
  <c r="O75"/>
  <c r="M75"/>
  <c r="G75"/>
  <c r="E75"/>
  <c r="C75"/>
  <c r="U74"/>
  <c r="S74"/>
  <c r="Q74"/>
  <c r="O74"/>
  <c r="M74"/>
  <c r="G74"/>
  <c r="E74"/>
  <c r="C74"/>
  <c r="U73"/>
  <c r="S73"/>
  <c r="Q73"/>
  <c r="O73"/>
  <c r="M73"/>
  <c r="G73"/>
  <c r="E73"/>
  <c r="C73"/>
  <c r="U72"/>
  <c r="S72"/>
  <c r="Q72"/>
  <c r="O72"/>
  <c r="M72"/>
  <c r="G72"/>
  <c r="E72"/>
  <c r="C72"/>
  <c r="U71"/>
  <c r="S71"/>
  <c r="Q71"/>
  <c r="O71"/>
  <c r="M71"/>
  <c r="G71"/>
  <c r="E71"/>
  <c r="C71"/>
  <c r="U70"/>
  <c r="S70"/>
  <c r="Q70"/>
  <c r="O70"/>
  <c r="M70"/>
  <c r="G70"/>
  <c r="E70"/>
  <c r="C70"/>
  <c r="U69"/>
  <c r="S69"/>
  <c r="Q69"/>
  <c r="O69"/>
  <c r="M69"/>
  <c r="G69"/>
  <c r="E69"/>
  <c r="C69"/>
  <c r="U68"/>
  <c r="S68"/>
  <c r="Q68"/>
  <c r="O68"/>
  <c r="M68"/>
  <c r="G68"/>
  <c r="E68"/>
  <c r="C68"/>
  <c r="U67"/>
  <c r="S67"/>
  <c r="Q67"/>
  <c r="O67"/>
  <c r="M67"/>
  <c r="G67"/>
  <c r="E67"/>
  <c r="C67"/>
  <c r="U66"/>
  <c r="S66"/>
  <c r="Q66"/>
  <c r="O66"/>
  <c r="M66"/>
  <c r="G66"/>
  <c r="E66"/>
  <c r="C66"/>
  <c r="U65"/>
  <c r="S65"/>
  <c r="Q65"/>
  <c r="O65"/>
  <c r="M65"/>
  <c r="G65"/>
  <c r="E65"/>
  <c r="C65"/>
  <c r="U64"/>
  <c r="S64"/>
  <c r="Q64"/>
  <c r="O64"/>
  <c r="M64"/>
  <c r="G64"/>
  <c r="E64"/>
  <c r="C64"/>
  <c r="U63"/>
  <c r="S63"/>
  <c r="Q63"/>
  <c r="O63"/>
  <c r="M63"/>
  <c r="G63"/>
  <c r="E63"/>
  <c r="C63"/>
  <c r="U62"/>
  <c r="S62"/>
  <c r="Q62"/>
  <c r="O62"/>
  <c r="M62"/>
  <c r="G62"/>
  <c r="E62"/>
  <c r="C62"/>
  <c r="U61"/>
  <c r="S61"/>
  <c r="Q61"/>
  <c r="O61"/>
  <c r="M61"/>
  <c r="G61"/>
  <c r="E61"/>
  <c r="C61"/>
  <c r="U60"/>
  <c r="S60"/>
  <c r="Q60"/>
  <c r="O60"/>
  <c r="M60"/>
  <c r="G60"/>
  <c r="E60"/>
  <c r="C60"/>
  <c r="U59"/>
  <c r="S59"/>
  <c r="Q59"/>
  <c r="O59"/>
  <c r="M59"/>
  <c r="G59"/>
  <c r="E59"/>
  <c r="C59"/>
  <c r="U58"/>
  <c r="S58"/>
  <c r="Q58"/>
  <c r="O58"/>
  <c r="M58"/>
  <c r="G58"/>
  <c r="E58"/>
  <c r="C58"/>
  <c r="U57"/>
  <c r="S57"/>
  <c r="Q57"/>
  <c r="O57"/>
  <c r="M57"/>
  <c r="G57"/>
  <c r="E57"/>
  <c r="C57"/>
  <c r="U56"/>
  <c r="S56"/>
  <c r="Q56"/>
  <c r="O56"/>
  <c r="M56"/>
  <c r="G56"/>
  <c r="E56"/>
  <c r="C56"/>
  <c r="U55"/>
  <c r="S55"/>
  <c r="Q55"/>
  <c r="O55"/>
  <c r="M55"/>
  <c r="G55"/>
  <c r="E55"/>
  <c r="C55"/>
  <c r="U54"/>
  <c r="S54"/>
  <c r="Q54"/>
  <c r="O54"/>
  <c r="M54"/>
  <c r="G54"/>
  <c r="E54"/>
  <c r="C54"/>
  <c r="U53"/>
  <c r="S53"/>
  <c r="Q53"/>
  <c r="O53"/>
  <c r="M53"/>
  <c r="G53"/>
  <c r="E53"/>
  <c r="C53"/>
  <c r="U52"/>
  <c r="S52"/>
  <c r="Q52"/>
  <c r="O52"/>
  <c r="M52"/>
  <c r="G52"/>
  <c r="E52"/>
  <c r="C52"/>
  <c r="U84"/>
  <c r="S84"/>
  <c r="Q84"/>
  <c r="O84"/>
  <c r="M84"/>
  <c r="G84"/>
  <c r="E84"/>
  <c r="C84"/>
  <c r="U37"/>
  <c r="S37"/>
  <c r="Q37"/>
  <c r="O37"/>
  <c r="M37"/>
  <c r="G37"/>
  <c r="E37"/>
  <c r="C37"/>
  <c r="U36"/>
  <c r="S36"/>
  <c r="Q36"/>
  <c r="O36"/>
  <c r="M36"/>
  <c r="G36"/>
  <c r="E36"/>
  <c r="C36"/>
  <c r="U35"/>
  <c r="S35"/>
  <c r="Q35"/>
  <c r="O35"/>
  <c r="M35"/>
  <c r="G35"/>
  <c r="E35"/>
  <c r="C35"/>
  <c r="U34"/>
  <c r="S34"/>
  <c r="Q34"/>
  <c r="O34"/>
  <c r="M34"/>
  <c r="G34"/>
  <c r="E34"/>
  <c r="C34"/>
  <c r="U33"/>
  <c r="S33"/>
  <c r="Q33"/>
  <c r="O33"/>
  <c r="M33"/>
  <c r="G33"/>
  <c r="E33"/>
  <c r="C33"/>
  <c r="U32"/>
  <c r="S32"/>
  <c r="Q32"/>
  <c r="O32"/>
  <c r="M32"/>
  <c r="G32"/>
  <c r="E32"/>
  <c r="C32"/>
  <c r="U31"/>
  <c r="S31"/>
  <c r="Q31"/>
  <c r="O31"/>
  <c r="M31"/>
  <c r="G31"/>
  <c r="E31"/>
  <c r="C31"/>
  <c r="U30"/>
  <c r="S30"/>
  <c r="Q30"/>
  <c r="O30"/>
  <c r="M30"/>
  <c r="G30"/>
  <c r="E30"/>
  <c r="C30"/>
  <c r="U29"/>
  <c r="S29"/>
  <c r="Q29"/>
  <c r="O29"/>
  <c r="M29"/>
  <c r="G29"/>
  <c r="E29"/>
  <c r="C29"/>
  <c r="L52"/>
  <c r="K52"/>
  <c r="J52"/>
  <c r="I52"/>
  <c r="L71"/>
  <c r="K71"/>
  <c r="J71"/>
  <c r="I71"/>
  <c r="L70"/>
  <c r="K70"/>
  <c r="J70"/>
  <c r="I70"/>
  <c r="L69"/>
  <c r="K69"/>
  <c r="J69"/>
  <c r="I69"/>
  <c r="L68"/>
  <c r="K68"/>
  <c r="J68"/>
  <c r="I68"/>
  <c r="L67"/>
  <c r="K67"/>
  <c r="J67"/>
  <c r="I67"/>
  <c r="L66"/>
  <c r="K66"/>
  <c r="J66"/>
  <c r="I66"/>
  <c r="L65"/>
  <c r="K65"/>
  <c r="J65"/>
  <c r="I65"/>
  <c r="L64"/>
  <c r="K64"/>
  <c r="J64"/>
  <c r="I64"/>
  <c r="L63"/>
  <c r="K63"/>
  <c r="J63"/>
  <c r="I63"/>
  <c r="L62"/>
  <c r="K62"/>
  <c r="J62"/>
  <c r="I62"/>
  <c r="L61"/>
  <c r="K61"/>
  <c r="J61"/>
  <c r="I61"/>
  <c r="L60"/>
  <c r="K60"/>
  <c r="J60"/>
  <c r="I60"/>
  <c r="L59"/>
  <c r="K59"/>
  <c r="J59"/>
  <c r="I59"/>
  <c r="L58"/>
  <c r="K58"/>
  <c r="J58"/>
  <c r="I58"/>
  <c r="L57"/>
  <c r="K57"/>
  <c r="J57"/>
  <c r="I57"/>
  <c r="L56"/>
  <c r="K56"/>
  <c r="J56"/>
  <c r="I56"/>
  <c r="L55"/>
  <c r="K55"/>
  <c r="J55"/>
  <c r="I55"/>
  <c r="L54"/>
  <c r="K54"/>
  <c r="J54"/>
  <c r="I54"/>
  <c r="L53"/>
  <c r="K53"/>
  <c r="J53"/>
  <c r="I53"/>
</calcChain>
</file>

<file path=xl/sharedStrings.xml><?xml version="1.0" encoding="utf-8"?>
<sst xmlns="http://schemas.openxmlformats.org/spreadsheetml/2006/main" count="101" uniqueCount="66">
  <si>
    <t/>
  </si>
  <si>
    <t>Inpatient</t>
  </si>
  <si>
    <t>nursing</t>
  </si>
  <si>
    <t>Outpatient</t>
  </si>
  <si>
    <t>Prescribed</t>
  </si>
  <si>
    <t>Year</t>
  </si>
  <si>
    <t>Hospital</t>
  </si>
  <si>
    <t>ICF/MR</t>
  </si>
  <si>
    <t>Other</t>
  </si>
  <si>
    <t>facility</t>
  </si>
  <si>
    <t>Physician</t>
  </si>
  <si>
    <t>Drugs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</si>
  <si>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</si>
  <si>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</si>
  <si>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</si>
  <si>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</si>
  <si>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</si>
  <si>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</si>
  <si>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</si>
  <si>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</si>
  <si>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</si>
  <si>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</si>
  <si>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</si>
  <si>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</si>
  <si>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</si>
  <si>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</si>
  <si>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</si>
  <si>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</si>
  <si>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</si>
  <si>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</si>
  <si>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</si>
  <si>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</si>
  <si>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</si>
  <si>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 xml:space="preserve">  Nursing   </t>
  </si>
  <si>
    <t>Table 13.15</t>
  </si>
  <si>
    <t xml:space="preserve">Medicaid Payments per Person Served (Beneficiary), Aged, by Type of Service: </t>
  </si>
  <si>
    <t xml:space="preserve">some not shown separately. </t>
  </si>
  <si>
    <t xml:space="preserve">fiscal year 1991, the conditions of participation for SNFs and ICF-other were unified, the distinction between them removed, and the services renamed </t>
  </si>
  <si>
    <t xml:space="preserve">nursing facility services. It is possible that the combined number of recipients includes some persons who used both types of nursing facility care during </t>
  </si>
  <si>
    <t>the reported fiscal year. This could inflate the number of users and lower the average payments per user.</t>
  </si>
  <si>
    <t>the definitions of related categories of service. Reporting for 1998 added categories of service for personal care support services and home and community-</t>
  </si>
  <si>
    <t xml:space="preserve">based waiver services (category not shown separately in table). In 1999 the home and community-based waiver services were reclassified into the other </t>
  </si>
  <si>
    <t>related categories of service (category not shown separately in table).</t>
  </si>
  <si>
    <t xml:space="preserve">NOTES: Beginning fiscal year 1998, capitated premiums for Medicaid eligibles enrolled in managed care plans were included in this series as a component of </t>
  </si>
  <si>
    <t xml:space="preserve">the total payment per person served (beneficiary). Dollar amounts are adjusted using a personal consumption expenditure index for medical services, </t>
  </si>
  <si>
    <t>retarded.</t>
  </si>
  <si>
    <t xml:space="preserve">SOURCES: Centers for Medicare &amp; Medicaid Services, Center for Medicaid and State Operations: Statistical Report on Medical Care: Eligibles, Recipients, </t>
  </si>
  <si>
    <t>Department of Commerce; data development by the Office of Research, Development, and Information.</t>
  </si>
  <si>
    <t xml:space="preserve">Payments, and Services (HCFA 2082), Medicaid Statistical Information System (MSIS), and the personal health care consumption indices from the U.S. </t>
  </si>
  <si>
    <r>
      <t>1</t>
    </r>
    <r>
      <rPr>
        <sz val="7"/>
        <rFont val="Arial"/>
        <family val="2"/>
      </rPr>
      <t xml:space="preserve">The total includes payments for all types of services reported on the HCFA Form-2082 and in the Medicaid Statistical Information System (MSIS), </t>
    </r>
  </si>
  <si>
    <r>
      <t>2</t>
    </r>
    <r>
      <rPr>
        <sz val="7"/>
        <rFont val="Arial"/>
        <family val="2"/>
      </rPr>
      <t xml:space="preserve">Data shown include services shown separately in earlier years as skilled nursing facility (SNF) and intermediate care facilities (ICF-other). Beginning in </t>
    </r>
  </si>
  <si>
    <r>
      <t>3</t>
    </r>
    <r>
      <rPr>
        <sz val="7"/>
        <rFont val="Arial"/>
        <family val="2"/>
      </rPr>
      <t xml:space="preserve">Trend in average payment per beneficiary (person served) for home health care are not strictly comparable to 1997 and prior years because of changes in </t>
    </r>
  </si>
  <si>
    <r>
      <t xml:space="preserve">     Total </t>
    </r>
    <r>
      <rPr>
        <vertAlign val="superscript"/>
        <sz val="8"/>
        <rFont val="Arial"/>
        <family val="2"/>
      </rPr>
      <t>1</t>
    </r>
  </si>
  <si>
    <r>
      <t xml:space="preserve">Facility </t>
    </r>
    <r>
      <rPr>
        <vertAlign val="superscript"/>
        <sz val="8"/>
        <rFont val="Arial"/>
        <family val="2"/>
      </rPr>
      <t>2</t>
    </r>
  </si>
  <si>
    <r>
      <t xml:space="preserve">     Health </t>
    </r>
    <r>
      <rPr>
        <vertAlign val="superscript"/>
        <sz val="8"/>
        <rFont val="Arial"/>
        <family val="2"/>
      </rPr>
      <t>3</t>
    </r>
  </si>
  <si>
    <t xml:space="preserve">  Home</t>
  </si>
  <si>
    <t xml:space="preserve">  ICF/MR</t>
  </si>
  <si>
    <r>
      <t xml:space="preserve">  Facility </t>
    </r>
    <r>
      <rPr>
        <vertAlign val="superscript"/>
        <sz val="8"/>
        <rFont val="Arial"/>
        <family val="2"/>
      </rPr>
      <t>2</t>
    </r>
  </si>
  <si>
    <t xml:space="preserve">   Nursing   </t>
  </si>
  <si>
    <t xml:space="preserve">  Drugs</t>
  </si>
  <si>
    <r>
      <t xml:space="preserve">    Health </t>
    </r>
    <r>
      <rPr>
        <vertAlign val="superscript"/>
        <sz val="8"/>
        <rFont val="Arial"/>
        <family val="2"/>
      </rPr>
      <t>3</t>
    </r>
  </si>
  <si>
    <t xml:space="preserve"> Home</t>
  </si>
  <si>
    <t>Table 13.15—Continued</t>
  </si>
  <si>
    <t>Fiscal Years 1975-2007</t>
  </si>
  <si>
    <t>(Constant 2007 Dollars)</t>
  </si>
  <si>
    <t xml:space="preserve">U.S. Department of Commerce, Bureau of Economic Analysis, expressed in fiscal year 2007 dollars. ICF/MR is intermediate care facility for the mentally </t>
  </si>
</sst>
</file>

<file path=xl/styles.xml><?xml version="1.0" encoding="utf-8"?>
<styleSheet xmlns="http://schemas.openxmlformats.org/spreadsheetml/2006/main">
  <numFmts count="4">
    <numFmt numFmtId="5" formatCode="&quot;$&quot;#,##0_);\(&quot;$&quot;#,##0\)"/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1">
    <font>
      <sz val="10"/>
      <name val="Helv"/>
    </font>
    <font>
      <sz val="10"/>
      <name val="Arial"/>
      <family val="2"/>
    </font>
    <font>
      <sz val="8"/>
      <name val="Helv"/>
    </font>
    <font>
      <sz val="7"/>
      <name val="Helv"/>
    </font>
    <font>
      <sz val="7"/>
      <name val="Helv"/>
      <family val="2"/>
    </font>
    <font>
      <b/>
      <sz val="10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47">
    <xf numFmtId="164" fontId="0" fillId="0" borderId="0" xfId="0"/>
    <xf numFmtId="164" fontId="2" fillId="0" borderId="0" xfId="0" applyFont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4" fillId="0" borderId="0" xfId="0" applyFont="1"/>
    <xf numFmtId="164" fontId="3" fillId="0" borderId="0" xfId="0" applyFont="1"/>
    <xf numFmtId="164" fontId="0" fillId="0" borderId="0" xfId="0" applyBorder="1" applyAlignment="1">
      <alignment vertical="center"/>
    </xf>
    <xf numFmtId="164" fontId="6" fillId="0" borderId="0" xfId="0" applyFont="1" applyAlignment="1" applyProtection="1">
      <alignment horizontal="left"/>
    </xf>
    <xf numFmtId="164" fontId="6" fillId="0" borderId="0" xfId="0" applyFont="1"/>
    <xf numFmtId="164" fontId="7" fillId="0" borderId="0" xfId="0" quotePrefix="1" applyNumberFormat="1" applyFont="1" applyBorder="1" applyAlignment="1" applyProtection="1">
      <alignment horizontal="left"/>
    </xf>
    <xf numFmtId="164" fontId="8" fillId="0" borderId="0" xfId="0" applyFont="1" applyBorder="1"/>
    <xf numFmtId="164" fontId="8" fillId="0" borderId="0" xfId="0" applyNumberFormat="1" applyFont="1" applyBorder="1" applyAlignment="1" applyProtection="1">
      <alignment horizontal="left"/>
    </xf>
    <xf numFmtId="164" fontId="7" fillId="0" borderId="0" xfId="0" applyNumberFormat="1" applyFont="1" applyAlignment="1" applyProtection="1">
      <alignment horizontal="left"/>
    </xf>
    <xf numFmtId="164" fontId="8" fillId="0" borderId="0" xfId="0" applyFont="1"/>
    <xf numFmtId="164" fontId="8" fillId="0" borderId="0" xfId="0" applyNumberFormat="1" applyFont="1" applyAlignment="1" applyProtection="1">
      <alignment horizontal="left"/>
    </xf>
    <xf numFmtId="164" fontId="8" fillId="0" borderId="0" xfId="0" applyFont="1" applyAlignment="1" applyProtection="1">
      <alignment horizontal="left"/>
    </xf>
    <xf numFmtId="164" fontId="8" fillId="0" borderId="0" xfId="0" quotePrefix="1" applyFont="1" applyAlignment="1" applyProtection="1">
      <alignment horizontal="left"/>
    </xf>
    <xf numFmtId="164" fontId="8" fillId="0" borderId="0" xfId="0" quotePrefix="1" applyFont="1" applyAlignment="1">
      <alignment horizontal="left"/>
    </xf>
    <xf numFmtId="164" fontId="9" fillId="0" borderId="0" xfId="0" applyFont="1"/>
    <xf numFmtId="164" fontId="6" fillId="0" borderId="0" xfId="0" applyNumberFormat="1" applyFont="1" applyBorder="1" applyAlignment="1" applyProtection="1">
      <alignment horizontal="left"/>
    </xf>
    <xf numFmtId="164" fontId="6" fillId="0" borderId="0" xfId="0" applyFont="1" applyBorder="1"/>
    <xf numFmtId="164" fontId="6" fillId="0" borderId="0" xfId="0" applyNumberFormat="1" applyFont="1" applyBorder="1" applyAlignment="1" applyProtection="1">
      <alignment horizontal="center"/>
    </xf>
    <xf numFmtId="164" fontId="6" fillId="0" borderId="0" xfId="0" quotePrefix="1" applyNumberFormat="1" applyFont="1" applyBorder="1" applyAlignment="1" applyProtection="1">
      <alignment horizontal="center"/>
    </xf>
    <xf numFmtId="164" fontId="6" fillId="0" borderId="0" xfId="0" applyNumberFormat="1" applyFont="1" applyAlignment="1" applyProtection="1">
      <alignment horizontal="left"/>
    </xf>
    <xf numFmtId="164" fontId="6" fillId="0" borderId="0" xfId="0" applyNumberFormat="1" applyFont="1" applyAlignment="1" applyProtection="1">
      <alignment horizontal="center"/>
    </xf>
    <xf numFmtId="164" fontId="6" fillId="0" borderId="1" xfId="0" applyFont="1" applyBorder="1" applyAlignment="1" applyProtection="1">
      <alignment horizontal="center"/>
    </xf>
    <xf numFmtId="164" fontId="6" fillId="0" borderId="1" xfId="0" applyFont="1" applyBorder="1"/>
    <xf numFmtId="164" fontId="6" fillId="0" borderId="2" xfId="0" applyNumberFormat="1" applyFont="1" applyBorder="1" applyAlignment="1" applyProtection="1">
      <alignment horizontal="left"/>
    </xf>
    <xf numFmtId="164" fontId="6" fillId="0" borderId="2" xfId="0" applyFont="1" applyBorder="1"/>
    <xf numFmtId="5" fontId="6" fillId="0" borderId="2" xfId="0" applyNumberFormat="1" applyFont="1" applyBorder="1" applyProtection="1"/>
    <xf numFmtId="5" fontId="6" fillId="0" borderId="0" xfId="0" applyNumberFormat="1" applyFont="1" applyBorder="1" applyProtection="1"/>
    <xf numFmtId="37" fontId="6" fillId="0" borderId="0" xfId="0" applyNumberFormat="1" applyFont="1" applyProtection="1"/>
    <xf numFmtId="164" fontId="6" fillId="0" borderId="1" xfId="0" applyNumberFormat="1" applyFont="1" applyBorder="1" applyAlignment="1" applyProtection="1">
      <alignment horizontal="center"/>
    </xf>
    <xf numFmtId="164" fontId="6" fillId="0" borderId="1" xfId="0" applyNumberFormat="1" applyFont="1" applyBorder="1" applyAlignment="1" applyProtection="1">
      <alignment horizontal="left"/>
    </xf>
    <xf numFmtId="5" fontId="6" fillId="0" borderId="0" xfId="0" applyNumberFormat="1" applyFont="1" applyProtection="1"/>
    <xf numFmtId="165" fontId="6" fillId="0" borderId="0" xfId="1" applyNumberFormat="1" applyFont="1" applyProtection="1"/>
    <xf numFmtId="165" fontId="6" fillId="0" borderId="0" xfId="1" applyNumberFormat="1" applyFont="1" applyProtection="1">
      <protection locked="0"/>
    </xf>
    <xf numFmtId="165" fontId="6" fillId="0" borderId="0" xfId="1" applyNumberFormat="1" applyFont="1" applyBorder="1" applyProtection="1"/>
    <xf numFmtId="37" fontId="6" fillId="0" borderId="0" xfId="0" applyNumberFormat="1" applyFont="1" applyBorder="1" applyProtection="1"/>
    <xf numFmtId="164" fontId="2" fillId="0" borderId="0" xfId="0" applyFont="1" applyBorder="1"/>
    <xf numFmtId="165" fontId="6" fillId="0" borderId="1" xfId="1" applyNumberFormat="1" applyFont="1" applyBorder="1" applyProtection="1"/>
    <xf numFmtId="37" fontId="6" fillId="0" borderId="1" xfId="0" applyNumberFormat="1" applyFont="1" applyBorder="1" applyProtection="1"/>
    <xf numFmtId="164" fontId="6" fillId="0" borderId="0" xfId="0" quotePrefix="1" applyNumberFormat="1" applyFont="1" applyAlignment="1" applyProtection="1">
      <alignment horizontal="center"/>
    </xf>
    <xf numFmtId="164" fontId="5" fillId="0" borderId="0" xfId="0" applyNumberFormat="1" applyFont="1" applyAlignment="1" applyProtection="1">
      <alignment horizontal="center" vertical="top"/>
    </xf>
    <xf numFmtId="164" fontId="6" fillId="0" borderId="0" xfId="0" applyFont="1" applyBorder="1" applyAlignment="1" applyProtection="1">
      <alignment horizontal="center"/>
    </xf>
    <xf numFmtId="164" fontId="5" fillId="0" borderId="1" xfId="0" applyNumberFormat="1" applyFont="1" applyBorder="1" applyAlignment="1" applyProtection="1">
      <alignment horizontal="center" vertical="center"/>
    </xf>
    <xf numFmtId="164" fontId="5" fillId="0" borderId="0" xfId="0" applyNumberFormat="1" applyFont="1" applyBorder="1" applyAlignment="1" applyProtection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W103"/>
  <sheetViews>
    <sheetView showGridLines="0" tabSelected="1" topLeftCell="A29" zoomScale="110" zoomScaleNormal="110" workbookViewId="0">
      <selection activeCell="U52" sqref="U52"/>
    </sheetView>
  </sheetViews>
  <sheetFormatPr defaultColWidth="11.7109375" defaultRowHeight="12.75"/>
  <cols>
    <col min="1" max="1" width="4.85546875" style="18" customWidth="1"/>
    <col min="2" max="2" width="2.7109375" style="18" customWidth="1"/>
    <col min="3" max="3" width="8" style="18" customWidth="1"/>
    <col min="4" max="4" width="3.7109375" style="18" customWidth="1"/>
    <col min="5" max="5" width="6.7109375" style="18" customWidth="1"/>
    <col min="6" max="6" width="3.7109375" style="18" customWidth="1"/>
    <col min="7" max="7" width="7.7109375" style="18" customWidth="1"/>
    <col min="8" max="8" width="3.7109375" style="18" customWidth="1"/>
    <col min="9" max="11" width="0" style="18" hidden="1" customWidth="1"/>
    <col min="12" max="12" width="0.140625" style="18" hidden="1" customWidth="1"/>
    <col min="13" max="13" width="7.42578125" style="18" customWidth="1"/>
    <col min="14" max="14" width="3.7109375" style="18" customWidth="1"/>
    <col min="15" max="15" width="5.7109375" style="18" customWidth="1"/>
    <col min="16" max="16" width="3.7109375" style="18" customWidth="1"/>
    <col min="17" max="17" width="5.7109375" style="18" customWidth="1"/>
    <col min="18" max="18" width="3.7109375" style="18" customWidth="1"/>
    <col min="19" max="19" width="7.7109375" style="18" customWidth="1"/>
    <col min="20" max="20" width="3.7109375" style="18" customWidth="1"/>
    <col min="21" max="21" width="6.7109375" style="18" customWidth="1"/>
    <col min="22" max="22" width="1.7109375" style="18" customWidth="1"/>
  </cols>
  <sheetData>
    <row r="1" spans="1:22" s="2" customFormat="1" ht="15" customHeight="1">
      <c r="A1" s="43" t="s">
        <v>34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</row>
    <row r="2" spans="1:22" s="6" customFormat="1" ht="15" customHeight="1">
      <c r="A2" s="46" t="s">
        <v>35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</row>
    <row r="3" spans="1:22" s="3" customFormat="1" ht="15" customHeight="1">
      <c r="A3" s="45" t="s">
        <v>63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</row>
    <row r="4" spans="1:22" s="1" customFormat="1" ht="10.5" customHeight="1">
      <c r="A4" s="19" t="s">
        <v>0</v>
      </c>
      <c r="B4" s="20"/>
      <c r="C4" s="20"/>
      <c r="D4" s="20"/>
      <c r="E4" s="21" t="s">
        <v>1</v>
      </c>
      <c r="F4" s="20"/>
      <c r="G4" s="20"/>
      <c r="H4" s="20"/>
      <c r="I4" s="20"/>
      <c r="J4" s="20"/>
      <c r="K4" s="21" t="s">
        <v>2</v>
      </c>
      <c r="L4" s="20"/>
      <c r="M4" s="22" t="s">
        <v>58</v>
      </c>
      <c r="N4" s="20"/>
      <c r="O4" s="20"/>
      <c r="P4" s="20"/>
      <c r="Q4" s="21" t="s">
        <v>3</v>
      </c>
      <c r="R4" s="20"/>
      <c r="S4" s="21" t="s">
        <v>55</v>
      </c>
      <c r="T4" s="20"/>
      <c r="U4" s="21" t="s">
        <v>4</v>
      </c>
      <c r="V4" s="20"/>
    </row>
    <row r="5" spans="1:22" s="1" customFormat="1" ht="15" customHeight="1">
      <c r="A5" s="23" t="s">
        <v>5</v>
      </c>
      <c r="B5" s="8"/>
      <c r="C5" s="24" t="s">
        <v>52</v>
      </c>
      <c r="D5" s="8"/>
      <c r="E5" s="24" t="s">
        <v>6</v>
      </c>
      <c r="F5" s="8"/>
      <c r="G5" s="24" t="s">
        <v>56</v>
      </c>
      <c r="H5" s="8"/>
      <c r="I5" s="24" t="s">
        <v>8</v>
      </c>
      <c r="J5" s="8"/>
      <c r="K5" s="24" t="s">
        <v>9</v>
      </c>
      <c r="L5" s="8"/>
      <c r="M5" s="24" t="s">
        <v>57</v>
      </c>
      <c r="N5" s="8"/>
      <c r="O5" s="24" t="s">
        <v>10</v>
      </c>
      <c r="P5" s="8"/>
      <c r="Q5" s="24" t="s">
        <v>6</v>
      </c>
      <c r="R5" s="8"/>
      <c r="S5" s="25" t="s">
        <v>54</v>
      </c>
      <c r="T5" s="8"/>
      <c r="U5" s="42" t="s">
        <v>59</v>
      </c>
      <c r="V5" s="26"/>
    </row>
    <row r="6" spans="1:22" s="1" customFormat="1" ht="11.1" customHeight="1">
      <c r="A6" s="27" t="s">
        <v>12</v>
      </c>
      <c r="B6" s="28"/>
      <c r="C6" s="29">
        <v>1205</v>
      </c>
      <c r="D6" s="29"/>
      <c r="E6" s="29">
        <v>271</v>
      </c>
      <c r="F6" s="29"/>
      <c r="G6" s="29">
        <v>6925</v>
      </c>
      <c r="H6" s="29"/>
      <c r="I6" s="29">
        <v>2763</v>
      </c>
      <c r="J6" s="29"/>
      <c r="K6" s="29">
        <v>3754</v>
      </c>
      <c r="L6" s="29"/>
      <c r="M6" s="29">
        <v>3250</v>
      </c>
      <c r="N6" s="29"/>
      <c r="O6" s="29">
        <v>59</v>
      </c>
      <c r="P6" s="29"/>
      <c r="Q6" s="29">
        <v>35</v>
      </c>
      <c r="R6" s="29"/>
      <c r="S6" s="29">
        <v>238</v>
      </c>
      <c r="T6" s="29"/>
      <c r="U6" s="29">
        <v>111</v>
      </c>
      <c r="V6" s="30"/>
    </row>
    <row r="7" spans="1:22" s="1" customFormat="1" ht="10.35" customHeight="1">
      <c r="A7" s="23" t="s">
        <v>13</v>
      </c>
      <c r="B7" s="8"/>
      <c r="C7" s="31">
        <v>1359</v>
      </c>
      <c r="D7" s="31"/>
      <c r="E7" s="31">
        <v>310</v>
      </c>
      <c r="F7" s="31"/>
      <c r="G7" s="31">
        <v>8951</v>
      </c>
      <c r="H7" s="31"/>
      <c r="I7" s="31">
        <v>2985</v>
      </c>
      <c r="J7" s="31"/>
      <c r="K7" s="31">
        <v>3702</v>
      </c>
      <c r="L7" s="31"/>
      <c r="M7" s="31">
        <v>3328</v>
      </c>
      <c r="N7" s="31"/>
      <c r="O7" s="31">
        <v>65</v>
      </c>
      <c r="P7" s="31"/>
      <c r="Q7" s="31">
        <v>42</v>
      </c>
      <c r="R7" s="31"/>
      <c r="S7" s="31">
        <v>493</v>
      </c>
      <c r="T7" s="31"/>
      <c r="U7" s="31">
        <v>134</v>
      </c>
      <c r="V7" s="31"/>
    </row>
    <row r="8" spans="1:22" s="1" customFormat="1" ht="10.35" customHeight="1">
      <c r="A8" s="23" t="s">
        <v>14</v>
      </c>
      <c r="B8" s="8"/>
      <c r="C8" s="31">
        <v>1512</v>
      </c>
      <c r="D8" s="31"/>
      <c r="E8" s="31">
        <v>364</v>
      </c>
      <c r="F8" s="31"/>
      <c r="G8" s="31">
        <v>7482</v>
      </c>
      <c r="H8" s="31"/>
      <c r="I8" s="31">
        <v>3423</v>
      </c>
      <c r="J8" s="31"/>
      <c r="K8" s="31">
        <v>3967</v>
      </c>
      <c r="L8" s="31"/>
      <c r="M8" s="31">
        <v>3679</v>
      </c>
      <c r="N8" s="31"/>
      <c r="O8" s="31">
        <v>71</v>
      </c>
      <c r="P8" s="31"/>
      <c r="Q8" s="31">
        <v>53</v>
      </c>
      <c r="R8" s="31"/>
      <c r="S8" s="31">
        <v>535</v>
      </c>
      <c r="T8" s="31"/>
      <c r="U8" s="31">
        <v>144</v>
      </c>
      <c r="V8" s="31"/>
    </row>
    <row r="9" spans="1:22" s="1" customFormat="1" ht="10.35" customHeight="1">
      <c r="A9" s="23" t="s">
        <v>15</v>
      </c>
      <c r="B9" s="8"/>
      <c r="C9" s="31">
        <v>1869</v>
      </c>
      <c r="D9" s="31"/>
      <c r="E9" s="31">
        <v>446</v>
      </c>
      <c r="F9" s="31"/>
      <c r="G9" s="31">
        <v>9700</v>
      </c>
      <c r="H9" s="31"/>
      <c r="I9" s="31">
        <v>4048</v>
      </c>
      <c r="J9" s="31"/>
      <c r="K9" s="31">
        <v>4684</v>
      </c>
      <c r="L9" s="31"/>
      <c r="M9" s="31">
        <v>4350</v>
      </c>
      <c r="N9" s="31"/>
      <c r="O9" s="31">
        <v>78</v>
      </c>
      <c r="P9" s="31"/>
      <c r="Q9" s="31">
        <v>48</v>
      </c>
      <c r="R9" s="31"/>
      <c r="S9" s="31">
        <v>801</v>
      </c>
      <c r="T9" s="31"/>
      <c r="U9" s="31">
        <v>158</v>
      </c>
      <c r="V9" s="31"/>
    </row>
    <row r="10" spans="1:22" s="1" customFormat="1" ht="10.35" customHeight="1">
      <c r="A10" s="23" t="s">
        <v>16</v>
      </c>
      <c r="B10" s="8"/>
      <c r="C10" s="31">
        <v>2094</v>
      </c>
      <c r="D10" s="31"/>
      <c r="E10" s="31">
        <v>569</v>
      </c>
      <c r="F10" s="31"/>
      <c r="G10" s="31">
        <v>9804</v>
      </c>
      <c r="H10" s="31"/>
      <c r="I10" s="31">
        <v>4701</v>
      </c>
      <c r="J10" s="31"/>
      <c r="K10" s="31">
        <v>5309</v>
      </c>
      <c r="L10" s="31"/>
      <c r="M10" s="31">
        <v>4972</v>
      </c>
      <c r="N10" s="31"/>
      <c r="O10" s="31">
        <v>83</v>
      </c>
      <c r="P10" s="31"/>
      <c r="Q10" s="31">
        <v>67</v>
      </c>
      <c r="R10" s="31"/>
      <c r="S10" s="31">
        <v>1387</v>
      </c>
      <c r="T10" s="31"/>
      <c r="U10" s="31">
        <v>179</v>
      </c>
      <c r="V10" s="31"/>
    </row>
    <row r="11" spans="1:22" s="1" customFormat="1" ht="10.35" customHeight="1">
      <c r="A11" s="23" t="s">
        <v>17</v>
      </c>
      <c r="B11" s="8"/>
      <c r="C11" s="31">
        <v>2540</v>
      </c>
      <c r="D11" s="31"/>
      <c r="E11" s="31">
        <v>970</v>
      </c>
      <c r="F11" s="31"/>
      <c r="G11" s="31">
        <v>16346</v>
      </c>
      <c r="H11" s="31"/>
      <c r="I11" s="31">
        <v>5334</v>
      </c>
      <c r="J11" s="31"/>
      <c r="K11" s="31">
        <v>6266</v>
      </c>
      <c r="L11" s="31"/>
      <c r="M11" s="31">
        <v>5742</v>
      </c>
      <c r="N11" s="31"/>
      <c r="O11" s="31">
        <v>101</v>
      </c>
      <c r="P11" s="31"/>
      <c r="Q11" s="31">
        <v>74</v>
      </c>
      <c r="R11" s="31"/>
      <c r="S11" s="31">
        <v>1873</v>
      </c>
      <c r="T11" s="31"/>
      <c r="U11" s="31">
        <v>198</v>
      </c>
      <c r="V11" s="31"/>
    </row>
    <row r="12" spans="1:22" s="1" customFormat="1" ht="10.35" customHeight="1">
      <c r="A12" s="23" t="s">
        <v>18</v>
      </c>
      <c r="B12" s="8"/>
      <c r="C12" s="31">
        <v>2948</v>
      </c>
      <c r="D12" s="31"/>
      <c r="E12" s="31">
        <v>1115</v>
      </c>
      <c r="F12" s="31"/>
      <c r="G12" s="31">
        <v>19247</v>
      </c>
      <c r="H12" s="31"/>
      <c r="I12" s="31">
        <v>5703</v>
      </c>
      <c r="J12" s="31"/>
      <c r="K12" s="31">
        <v>6681</v>
      </c>
      <c r="L12" s="31"/>
      <c r="M12" s="31">
        <v>6137</v>
      </c>
      <c r="N12" s="31"/>
      <c r="O12" s="31">
        <v>118</v>
      </c>
      <c r="P12" s="31"/>
      <c r="Q12" s="31">
        <v>91</v>
      </c>
      <c r="R12" s="31"/>
      <c r="S12" s="31">
        <v>2624</v>
      </c>
      <c r="T12" s="31"/>
      <c r="U12" s="31">
        <v>230</v>
      </c>
      <c r="V12" s="31"/>
    </row>
    <row r="13" spans="1:22" s="1" customFormat="1" ht="10.35" customHeight="1">
      <c r="A13" s="23" t="s">
        <v>19</v>
      </c>
      <c r="B13" s="8"/>
      <c r="C13" s="31">
        <v>3315</v>
      </c>
      <c r="D13" s="31"/>
      <c r="E13" s="31">
        <v>1241</v>
      </c>
      <c r="F13" s="31"/>
      <c r="G13" s="31">
        <v>11464</v>
      </c>
      <c r="H13" s="31"/>
      <c r="I13" s="31">
        <v>6204</v>
      </c>
      <c r="J13" s="31"/>
      <c r="K13" s="31">
        <v>7974</v>
      </c>
      <c r="L13" s="31"/>
      <c r="M13" s="31">
        <v>6945</v>
      </c>
      <c r="N13" s="31"/>
      <c r="O13" s="31">
        <v>115</v>
      </c>
      <c r="P13" s="31"/>
      <c r="Q13" s="31">
        <v>101</v>
      </c>
      <c r="R13" s="31"/>
      <c r="S13" s="31">
        <v>2944</v>
      </c>
      <c r="T13" s="31"/>
      <c r="U13" s="31">
        <v>249</v>
      </c>
      <c r="V13" s="31"/>
    </row>
    <row r="14" spans="1:22" s="1" customFormat="1" ht="10.35" customHeight="1">
      <c r="A14" s="23" t="s">
        <v>20</v>
      </c>
      <c r="B14" s="8"/>
      <c r="C14" s="31">
        <v>3545</v>
      </c>
      <c r="D14" s="31"/>
      <c r="E14" s="31">
        <v>1682</v>
      </c>
      <c r="F14" s="31"/>
      <c r="G14" s="31">
        <v>20348</v>
      </c>
      <c r="H14" s="31"/>
      <c r="I14" s="31">
        <v>6344</v>
      </c>
      <c r="J14" s="31"/>
      <c r="K14" s="31">
        <v>7777</v>
      </c>
      <c r="L14" s="31"/>
      <c r="M14" s="31">
        <v>6942</v>
      </c>
      <c r="N14" s="31"/>
      <c r="O14" s="31">
        <v>114</v>
      </c>
      <c r="P14" s="31"/>
      <c r="Q14" s="31">
        <v>97</v>
      </c>
      <c r="R14" s="31"/>
      <c r="S14" s="31">
        <v>1829</v>
      </c>
      <c r="T14" s="31"/>
      <c r="U14" s="31">
        <v>274</v>
      </c>
      <c r="V14" s="31"/>
    </row>
    <row r="15" spans="1:22" s="1" customFormat="1" ht="10.35" customHeight="1">
      <c r="A15" s="23" t="s">
        <v>21</v>
      </c>
      <c r="B15" s="8"/>
      <c r="C15" s="31">
        <v>3957</v>
      </c>
      <c r="D15" s="31"/>
      <c r="E15" s="31">
        <v>1778</v>
      </c>
      <c r="F15" s="31"/>
      <c r="G15" s="31">
        <v>23343</v>
      </c>
      <c r="H15" s="31"/>
      <c r="I15" s="31">
        <v>6909</v>
      </c>
      <c r="J15" s="31"/>
      <c r="K15" s="31">
        <v>8193</v>
      </c>
      <c r="L15" s="31"/>
      <c r="M15" s="31">
        <v>7430</v>
      </c>
      <c r="N15" s="31"/>
      <c r="O15" s="31">
        <v>119</v>
      </c>
      <c r="P15" s="31"/>
      <c r="Q15" s="31">
        <v>105</v>
      </c>
      <c r="R15" s="31"/>
      <c r="S15" s="31">
        <v>2263</v>
      </c>
      <c r="T15" s="31"/>
      <c r="U15" s="31">
        <v>312</v>
      </c>
      <c r="V15" s="31"/>
    </row>
    <row r="16" spans="1:22" s="1" customFormat="1" ht="10.35" customHeight="1">
      <c r="A16" s="23" t="s">
        <v>22</v>
      </c>
      <c r="B16" s="8"/>
      <c r="C16" s="31">
        <v>4605</v>
      </c>
      <c r="D16" s="31"/>
      <c r="E16" s="31">
        <v>1990</v>
      </c>
      <c r="F16" s="31"/>
      <c r="G16" s="31">
        <v>26926</v>
      </c>
      <c r="H16" s="31"/>
      <c r="I16" s="31">
        <v>7491</v>
      </c>
      <c r="J16" s="31"/>
      <c r="K16" s="31">
        <v>8883</v>
      </c>
      <c r="L16" s="31"/>
      <c r="M16" s="31">
        <v>8035</v>
      </c>
      <c r="N16" s="31"/>
      <c r="O16" s="31">
        <v>122</v>
      </c>
      <c r="P16" s="31"/>
      <c r="Q16" s="31">
        <v>131</v>
      </c>
      <c r="R16" s="31"/>
      <c r="S16" s="31">
        <v>2731</v>
      </c>
      <c r="T16" s="31"/>
      <c r="U16" s="31">
        <v>368</v>
      </c>
      <c r="V16" s="31"/>
    </row>
    <row r="17" spans="1:22" s="1" customFormat="1" ht="10.35" customHeight="1">
      <c r="A17" s="23" t="s">
        <v>23</v>
      </c>
      <c r="B17" s="8"/>
      <c r="C17" s="31">
        <v>4808</v>
      </c>
      <c r="D17" s="31"/>
      <c r="E17" s="31">
        <v>2228</v>
      </c>
      <c r="F17" s="31"/>
      <c r="G17" s="31">
        <v>32328</v>
      </c>
      <c r="H17" s="31"/>
      <c r="I17" s="31">
        <v>7829</v>
      </c>
      <c r="J17" s="31"/>
      <c r="K17" s="31">
        <v>9476</v>
      </c>
      <c r="L17" s="31"/>
      <c r="M17" s="31">
        <v>8487</v>
      </c>
      <c r="N17" s="31"/>
      <c r="O17" s="31">
        <v>119</v>
      </c>
      <c r="P17" s="31"/>
      <c r="Q17" s="31">
        <v>142</v>
      </c>
      <c r="R17" s="31"/>
      <c r="S17" s="31">
        <v>3015</v>
      </c>
      <c r="T17" s="31"/>
      <c r="U17" s="31">
        <v>394</v>
      </c>
      <c r="V17" s="31"/>
    </row>
    <row r="18" spans="1:22" s="1" customFormat="1" ht="10.35" customHeight="1">
      <c r="A18" s="23" t="s">
        <v>24</v>
      </c>
      <c r="B18" s="8"/>
      <c r="C18" s="31">
        <v>4975</v>
      </c>
      <c r="D18" s="31"/>
      <c r="E18" s="31">
        <v>1898</v>
      </c>
      <c r="F18" s="31"/>
      <c r="G18" s="31">
        <v>39854</v>
      </c>
      <c r="H18" s="31"/>
      <c r="I18" s="31">
        <v>8208</v>
      </c>
      <c r="J18" s="31"/>
      <c r="K18" s="31">
        <v>9875</v>
      </c>
      <c r="L18" s="31"/>
      <c r="M18" s="31">
        <v>8862</v>
      </c>
      <c r="N18" s="31"/>
      <c r="O18" s="31">
        <v>111</v>
      </c>
      <c r="P18" s="31"/>
      <c r="Q18" s="31">
        <v>159</v>
      </c>
      <c r="R18" s="31"/>
      <c r="S18" s="31">
        <v>3551</v>
      </c>
      <c r="T18" s="31"/>
      <c r="U18" s="31">
        <v>432</v>
      </c>
      <c r="V18" s="31"/>
    </row>
    <row r="19" spans="1:22" s="1" customFormat="1" ht="10.35" customHeight="1">
      <c r="A19" s="23" t="s">
        <v>25</v>
      </c>
      <c r="B19" s="8"/>
      <c r="C19" s="31">
        <v>5425</v>
      </c>
      <c r="D19" s="31"/>
      <c r="E19" s="31">
        <v>1937</v>
      </c>
      <c r="F19" s="31"/>
      <c r="G19" s="31">
        <v>45601</v>
      </c>
      <c r="H19" s="31"/>
      <c r="I19" s="31">
        <v>8896</v>
      </c>
      <c r="J19" s="31"/>
      <c r="K19" s="31">
        <v>9920</v>
      </c>
      <c r="L19" s="31"/>
      <c r="M19" s="31">
        <v>9309</v>
      </c>
      <c r="N19" s="31"/>
      <c r="O19" s="31">
        <v>116</v>
      </c>
      <c r="P19" s="31"/>
      <c r="Q19" s="31">
        <v>175</v>
      </c>
      <c r="R19" s="31"/>
      <c r="S19" s="31">
        <v>4344</v>
      </c>
      <c r="T19" s="31"/>
      <c r="U19" s="31">
        <v>474</v>
      </c>
      <c r="V19" s="31"/>
    </row>
    <row r="20" spans="1:22" s="1" customFormat="1" ht="10.35" customHeight="1">
      <c r="A20" s="23" t="s">
        <v>26</v>
      </c>
      <c r="B20" s="8"/>
      <c r="C20" s="31">
        <v>5926</v>
      </c>
      <c r="D20" s="31"/>
      <c r="E20" s="31">
        <v>1754</v>
      </c>
      <c r="F20" s="31"/>
      <c r="G20" s="31">
        <v>51265</v>
      </c>
      <c r="H20" s="31"/>
      <c r="I20" s="31">
        <v>9666</v>
      </c>
      <c r="J20" s="31"/>
      <c r="K20" s="31">
        <v>11176</v>
      </c>
      <c r="L20" s="31"/>
      <c r="M20" s="31">
        <v>10236</v>
      </c>
      <c r="N20" s="31"/>
      <c r="O20" s="31">
        <v>137</v>
      </c>
      <c r="P20" s="31"/>
      <c r="Q20" s="31">
        <v>192</v>
      </c>
      <c r="R20" s="31"/>
      <c r="S20" s="31">
        <v>5452</v>
      </c>
      <c r="T20" s="31"/>
      <c r="U20" s="31">
        <v>519</v>
      </c>
      <c r="V20" s="31"/>
    </row>
    <row r="21" spans="1:22" s="1" customFormat="1" ht="10.35" customHeight="1">
      <c r="A21" s="23" t="s">
        <v>27</v>
      </c>
      <c r="B21" s="8"/>
      <c r="C21" s="31">
        <v>6716.81</v>
      </c>
      <c r="D21" s="31"/>
      <c r="E21" s="31">
        <v>1864.74</v>
      </c>
      <c r="F21" s="31"/>
      <c r="G21" s="31">
        <v>52942.73</v>
      </c>
      <c r="H21" s="31"/>
      <c r="I21" s="31">
        <v>11004.69</v>
      </c>
      <c r="J21" s="31"/>
      <c r="K21" s="31">
        <v>12914.17</v>
      </c>
      <c r="L21" s="31"/>
      <c r="M21" s="31">
        <v>11776</v>
      </c>
      <c r="N21" s="31"/>
      <c r="O21" s="31">
        <v>139.31</v>
      </c>
      <c r="P21" s="31"/>
      <c r="Q21" s="31">
        <v>205.71</v>
      </c>
      <c r="R21" s="31"/>
      <c r="S21" s="31">
        <v>6013</v>
      </c>
      <c r="T21" s="31"/>
      <c r="U21" s="31">
        <v>581.42999999999995</v>
      </c>
      <c r="V21" s="31"/>
    </row>
    <row r="22" spans="1:22" s="1" customFormat="1" ht="10.35" customHeight="1">
      <c r="A22" s="23" t="s">
        <v>28</v>
      </c>
      <c r="B22" s="8"/>
      <c r="C22" s="31">
        <v>7616.75</v>
      </c>
      <c r="D22" s="31"/>
      <c r="E22" s="31">
        <v>2151.25</v>
      </c>
      <c r="F22" s="31"/>
      <c r="G22" s="31">
        <v>56032.09</v>
      </c>
      <c r="H22" s="31"/>
      <c r="I22" s="31">
        <v>12103.43</v>
      </c>
      <c r="J22" s="31"/>
      <c r="K22" s="31">
        <v>13759.92</v>
      </c>
      <c r="L22" s="31"/>
      <c r="M22" s="31">
        <v>13540</v>
      </c>
      <c r="N22" s="31"/>
      <c r="O22" s="31">
        <v>157.22</v>
      </c>
      <c r="P22" s="31"/>
      <c r="Q22" s="31">
        <v>242.82</v>
      </c>
      <c r="R22" s="31"/>
      <c r="S22" s="31">
        <v>6748.91</v>
      </c>
      <c r="T22" s="31"/>
      <c r="U22" s="31">
        <v>668.45</v>
      </c>
      <c r="V22" s="31"/>
    </row>
    <row r="23" spans="1:22" s="1" customFormat="1" ht="10.35" customHeight="1">
      <c r="A23" s="23" t="s">
        <v>29</v>
      </c>
      <c r="B23" s="8"/>
      <c r="C23" s="31">
        <v>7759</v>
      </c>
      <c r="D23" s="31"/>
      <c r="E23" s="31">
        <v>2152</v>
      </c>
      <c r="F23" s="31"/>
      <c r="G23" s="31">
        <v>43083</v>
      </c>
      <c r="H23" s="31"/>
      <c r="I23" s="31">
        <v>11187</v>
      </c>
      <c r="J23" s="31"/>
      <c r="K23" s="31">
        <v>15037</v>
      </c>
      <c r="L23" s="31"/>
      <c r="M23" s="31">
        <v>14630</v>
      </c>
      <c r="N23" s="31"/>
      <c r="O23" s="31">
        <v>169</v>
      </c>
      <c r="P23" s="31"/>
      <c r="Q23" s="31">
        <v>260</v>
      </c>
      <c r="R23" s="31"/>
      <c r="S23" s="31">
        <v>6944</v>
      </c>
      <c r="T23" s="31"/>
      <c r="U23" s="31">
        <v>763</v>
      </c>
      <c r="V23" s="31"/>
    </row>
    <row r="24" spans="1:22" s="1" customFormat="1" ht="10.35" customHeight="1">
      <c r="A24" s="23" t="s">
        <v>30</v>
      </c>
      <c r="B24" s="8"/>
      <c r="C24" s="31">
        <v>8168</v>
      </c>
      <c r="D24" s="31"/>
      <c r="E24" s="31">
        <v>2225</v>
      </c>
      <c r="F24" s="31"/>
      <c r="G24" s="31">
        <v>60901</v>
      </c>
      <c r="H24" s="31"/>
      <c r="I24" s="31"/>
      <c r="J24" s="31"/>
      <c r="K24" s="31"/>
      <c r="L24" s="31"/>
      <c r="M24" s="31">
        <v>15467</v>
      </c>
      <c r="N24" s="31"/>
      <c r="O24" s="31">
        <v>190</v>
      </c>
      <c r="P24" s="31"/>
      <c r="Q24" s="31">
        <v>304</v>
      </c>
      <c r="R24" s="31"/>
      <c r="S24" s="31">
        <v>6659</v>
      </c>
      <c r="T24" s="31"/>
      <c r="U24" s="31">
        <v>826</v>
      </c>
      <c r="V24" s="31"/>
    </row>
    <row r="25" spans="1:22" s="1" customFormat="1" ht="10.35" customHeight="1">
      <c r="A25" s="23" t="s">
        <v>31</v>
      </c>
      <c r="B25" s="8"/>
      <c r="C25" s="31">
        <v>8332</v>
      </c>
      <c r="D25" s="31"/>
      <c r="E25" s="31">
        <v>2180</v>
      </c>
      <c r="F25" s="31"/>
      <c r="G25" s="31">
        <v>53983</v>
      </c>
      <c r="H25" s="31"/>
      <c r="I25" s="31"/>
      <c r="J25" s="31"/>
      <c r="K25" s="31"/>
      <c r="L25" s="31"/>
      <c r="M25" s="31">
        <v>16209</v>
      </c>
      <c r="N25" s="31"/>
      <c r="O25" s="31">
        <v>203</v>
      </c>
      <c r="P25" s="31"/>
      <c r="Q25" s="31">
        <v>320</v>
      </c>
      <c r="R25" s="31"/>
      <c r="S25" s="31">
        <v>6742</v>
      </c>
      <c r="T25" s="31"/>
      <c r="U25" s="31">
        <v>880</v>
      </c>
      <c r="V25" s="31"/>
    </row>
    <row r="26" spans="1:22" s="1" customFormat="1" ht="10.35" customHeight="1">
      <c r="A26" s="23">
        <v>1995</v>
      </c>
      <c r="B26" s="8"/>
      <c r="C26" s="31">
        <v>8868</v>
      </c>
      <c r="D26" s="31"/>
      <c r="E26" s="31">
        <v>2397</v>
      </c>
      <c r="F26" s="31"/>
      <c r="G26" s="31">
        <v>51657</v>
      </c>
      <c r="H26" s="31"/>
      <c r="I26" s="31"/>
      <c r="J26" s="31"/>
      <c r="K26" s="31"/>
      <c r="L26" s="31"/>
      <c r="M26" s="31">
        <v>17183</v>
      </c>
      <c r="N26" s="31"/>
      <c r="O26" s="31">
        <v>224</v>
      </c>
      <c r="P26" s="31"/>
      <c r="Q26" s="31">
        <v>343</v>
      </c>
      <c r="R26" s="31"/>
      <c r="S26" s="31">
        <v>6220</v>
      </c>
      <c r="T26" s="31"/>
      <c r="U26" s="31">
        <v>960</v>
      </c>
      <c r="V26" s="31"/>
    </row>
    <row r="27" spans="1:22" s="1" customFormat="1" ht="10.35" customHeight="1">
      <c r="A27" s="23">
        <v>1996</v>
      </c>
      <c r="B27" s="8"/>
      <c r="C27" s="31">
        <v>8622</v>
      </c>
      <c r="D27" s="31"/>
      <c r="E27" s="31">
        <v>2303</v>
      </c>
      <c r="F27" s="31"/>
      <c r="G27" s="31">
        <v>56902</v>
      </c>
      <c r="H27" s="31"/>
      <c r="I27" s="31"/>
      <c r="J27" s="31"/>
      <c r="K27" s="31"/>
      <c r="L27" s="31"/>
      <c r="M27" s="31">
        <v>18377</v>
      </c>
      <c r="N27" s="31"/>
      <c r="O27" s="31">
        <v>245</v>
      </c>
      <c r="P27" s="31"/>
      <c r="Q27" s="31">
        <v>376</v>
      </c>
      <c r="R27" s="31"/>
      <c r="S27" s="31">
        <v>6631</v>
      </c>
      <c r="T27" s="31"/>
      <c r="U27" s="31">
        <v>1037</v>
      </c>
      <c r="V27" s="31"/>
    </row>
    <row r="28" spans="1:22" s="1" customFormat="1" ht="10.35" customHeight="1">
      <c r="A28" s="23">
        <v>1997</v>
      </c>
      <c r="B28" s="8"/>
      <c r="C28" s="31">
        <v>9540</v>
      </c>
      <c r="D28" s="31"/>
      <c r="E28" s="31">
        <v>2444</v>
      </c>
      <c r="F28" s="31"/>
      <c r="G28" s="31">
        <v>63949</v>
      </c>
      <c r="H28" s="31"/>
      <c r="I28" s="31"/>
      <c r="J28" s="31"/>
      <c r="K28" s="31"/>
      <c r="L28" s="31"/>
      <c r="M28" s="31">
        <v>19022</v>
      </c>
      <c r="N28" s="31"/>
      <c r="O28" s="31">
        <v>279</v>
      </c>
      <c r="P28" s="31"/>
      <c r="Q28" s="31">
        <v>411</v>
      </c>
      <c r="R28" s="31"/>
      <c r="S28" s="31">
        <v>6323</v>
      </c>
      <c r="T28" s="31"/>
      <c r="U28" s="31">
        <v>1174</v>
      </c>
      <c r="V28" s="31"/>
    </row>
    <row r="29" spans="1:22" s="1" customFormat="1" ht="10.35" customHeight="1">
      <c r="A29" s="23">
        <v>1998</v>
      </c>
      <c r="B29" s="8"/>
      <c r="C29" s="31">
        <f>40601408616/3963664</f>
        <v>10243.403228931615</v>
      </c>
      <c r="D29" s="31"/>
      <c r="E29" s="31">
        <f>1870803998/735475</f>
        <v>2543.6676950270235</v>
      </c>
      <c r="F29" s="31"/>
      <c r="G29" s="31">
        <f>691690558/8504</f>
        <v>81337.083490122299</v>
      </c>
      <c r="H29" s="31"/>
      <c r="I29" s="31"/>
      <c r="J29" s="31"/>
      <c r="K29" s="31"/>
      <c r="L29" s="31"/>
      <c r="M29" s="31">
        <f>25529294210/1299951</f>
        <v>19638.658849448941</v>
      </c>
      <c r="N29" s="31"/>
      <c r="O29" s="31">
        <f>695044282/2578566</f>
        <v>269.54682641437142</v>
      </c>
      <c r="P29" s="31"/>
      <c r="Q29" s="31">
        <f>585248874/1343823</f>
        <v>435.5103864124963</v>
      </c>
      <c r="R29" s="31"/>
      <c r="S29" s="31">
        <f>797547610/362767</f>
        <v>2198.5120201120831</v>
      </c>
      <c r="T29" s="31"/>
      <c r="U29" s="31">
        <f>3805827005/2834302</f>
        <v>1342.7739898571147</v>
      </c>
      <c r="V29" s="31"/>
    </row>
    <row r="30" spans="1:22" s="1" customFormat="1" ht="10.35" customHeight="1">
      <c r="A30" s="23">
        <v>1999</v>
      </c>
      <c r="B30" s="8"/>
      <c r="C30" s="31">
        <f>42521620708/3773532</f>
        <v>11268.387470412335</v>
      </c>
      <c r="D30" s="31"/>
      <c r="E30" s="31">
        <f>1655159398/694048</f>
        <v>2384.7909625847205</v>
      </c>
      <c r="F30" s="31"/>
      <c r="G30" s="31">
        <f>742192636/9106</f>
        <v>81505.890182297386</v>
      </c>
      <c r="H30" s="31"/>
      <c r="I30" s="31"/>
      <c r="J30" s="31"/>
      <c r="K30" s="31"/>
      <c r="L30" s="31"/>
      <c r="M30" s="31">
        <f>26578145314/1209942</f>
        <v>21966.462288274975</v>
      </c>
      <c r="N30" s="31"/>
      <c r="O30" s="31">
        <f>634510780/2444455</f>
        <v>259.57147094137548</v>
      </c>
      <c r="P30" s="31"/>
      <c r="Q30" s="31">
        <f>585468507/1285530</f>
        <v>455.42967258640402</v>
      </c>
      <c r="R30" s="31"/>
      <c r="S30" s="31">
        <f>667381646/198670</f>
        <v>3359.2472240398652</v>
      </c>
      <c r="T30" s="31"/>
      <c r="U30" s="31">
        <f>4572050588/2906598</f>
        <v>1572.9903440379439</v>
      </c>
      <c r="V30" s="31"/>
    </row>
    <row r="31" spans="1:22" s="1" customFormat="1" ht="10.35" customHeight="1">
      <c r="A31" s="23">
        <v>2000</v>
      </c>
      <c r="B31" s="8"/>
      <c r="C31" s="31">
        <f>44503184188/3730827</f>
        <v>11928.503837889026</v>
      </c>
      <c r="D31" s="31"/>
      <c r="E31" s="31">
        <f>1630267203/707761</f>
        <v>2303.4148575578479</v>
      </c>
      <c r="F31" s="31"/>
      <c r="G31" s="31">
        <f>707959452/8504</f>
        <v>83250.170743179682</v>
      </c>
      <c r="H31" s="31"/>
      <c r="I31" s="31"/>
      <c r="J31" s="31"/>
      <c r="K31" s="31"/>
      <c r="L31" s="31"/>
      <c r="M31" s="31">
        <f>27058253010/1203831</f>
        <v>22476.787032399065</v>
      </c>
      <c r="N31" s="31"/>
      <c r="O31" s="31">
        <f>632624037/2363637</f>
        <v>267.64855897923411</v>
      </c>
      <c r="P31" s="31"/>
      <c r="Q31" s="31">
        <f>667349187/1324460</f>
        <v>503.86511257418118</v>
      </c>
      <c r="R31" s="31"/>
      <c r="S31" s="31">
        <f>718410987/228780</f>
        <v>3140.1826514555469</v>
      </c>
      <c r="T31" s="31"/>
      <c r="U31" s="31">
        <f>5354543487/2889753</f>
        <v>1852.9415790899775</v>
      </c>
      <c r="V31" s="31"/>
    </row>
    <row r="32" spans="1:22" s="1" customFormat="1" ht="10.35" customHeight="1">
      <c r="A32" s="23">
        <v>2001</v>
      </c>
      <c r="B32" s="8"/>
      <c r="C32" s="31">
        <f>48356432218/3810378</f>
        <v>12690.717881008131</v>
      </c>
      <c r="D32" s="31"/>
      <c r="E32" s="31">
        <f>1739186910/703417</f>
        <v>2472.4834770840057</v>
      </c>
      <c r="F32" s="31"/>
      <c r="G32" s="31">
        <f>716666236/8268</f>
        <v>86679.515723270437</v>
      </c>
      <c r="H32" s="31"/>
      <c r="I32" s="31"/>
      <c r="J32" s="31"/>
      <c r="K32" s="31"/>
      <c r="L32" s="31"/>
      <c r="M32" s="31">
        <f>29104479610/1195941</f>
        <v>24336.049696431513</v>
      </c>
      <c r="N32" s="31"/>
      <c r="O32" s="31">
        <f>611742494/2369392</f>
        <v>258.18543069276842</v>
      </c>
      <c r="P32" s="31"/>
      <c r="Q32" s="31">
        <f>583515142/1303369</f>
        <v>447.69757605098789</v>
      </c>
      <c r="R32" s="31"/>
      <c r="S32" s="31">
        <f>819711401/235457</f>
        <v>3481.3634803807063</v>
      </c>
      <c r="T32" s="31"/>
      <c r="U32" s="31">
        <f>6226527442/2996693</f>
        <v>2077.7995750649134</v>
      </c>
      <c r="V32" s="31"/>
    </row>
    <row r="33" spans="1:22" s="1" customFormat="1" ht="10.35" customHeight="1">
      <c r="A33" s="23">
        <v>2002</v>
      </c>
      <c r="B33" s="8"/>
      <c r="C33" s="31">
        <f>51923752294/3886706</f>
        <v>13359.320796067415</v>
      </c>
      <c r="D33" s="31"/>
      <c r="E33" s="31">
        <f>1946405483/720940</f>
        <v>2699.8161885871223</v>
      </c>
      <c r="F33" s="31"/>
      <c r="G33" s="31">
        <f>737624910/7813</f>
        <v>94409.946243440427</v>
      </c>
      <c r="H33" s="31"/>
      <c r="I33" s="31"/>
      <c r="J33" s="31"/>
      <c r="K33" s="31"/>
      <c r="L33" s="31"/>
      <c r="M33" s="31">
        <f>30096762623/1174019</f>
        <v>25635.669118642883</v>
      </c>
      <c r="N33" s="31"/>
      <c r="O33" s="31">
        <f>570560656/2186928</f>
        <v>260.89594902072679</v>
      </c>
      <c r="P33" s="31"/>
      <c r="Q33" s="31">
        <f>569965148/1264499</f>
        <v>450.74385033123792</v>
      </c>
      <c r="R33" s="31"/>
      <c r="S33" s="31">
        <f>997172286/249814</f>
        <v>3991.6589382500579</v>
      </c>
      <c r="T33" s="31"/>
      <c r="U33" s="31">
        <f>7150365001/3146907</f>
        <v>2272.188215603448</v>
      </c>
      <c r="V33" s="31"/>
    </row>
    <row r="34" spans="1:22" s="1" customFormat="1" ht="10.35" customHeight="1">
      <c r="A34" s="23">
        <v>2003</v>
      </c>
      <c r="B34" s="8"/>
      <c r="C34" s="31">
        <f>55270538896/4040998</f>
        <v>13677.447723557398</v>
      </c>
      <c r="D34" s="31"/>
      <c r="E34" s="31">
        <f>2040471152/697416</f>
        <v>2925.759019007307</v>
      </c>
      <c r="F34" s="31"/>
      <c r="G34" s="31">
        <f>753440128/7734</f>
        <v>97419.204551331786</v>
      </c>
      <c r="H34" s="31"/>
      <c r="I34" s="31"/>
      <c r="J34" s="31"/>
      <c r="K34" s="31"/>
      <c r="L34" s="31"/>
      <c r="M34" s="31">
        <f>30947061786/1157461</f>
        <v>26737.023351974709</v>
      </c>
      <c r="N34" s="31"/>
      <c r="O34" s="31">
        <f>567014960/2210447</f>
        <v>256.51597165641158</v>
      </c>
      <c r="P34" s="31"/>
      <c r="Q34" s="31">
        <f>553508254/1235012</f>
        <v>448.18046626267596</v>
      </c>
      <c r="R34" s="31"/>
      <c r="S34" s="31">
        <f>990749120/264498</f>
        <v>3745.7716882547315</v>
      </c>
      <c r="T34" s="31"/>
      <c r="U34" s="31">
        <f>8283661952/3294401</f>
        <v>2514.4668035251325</v>
      </c>
      <c r="V34" s="31"/>
    </row>
    <row r="35" spans="1:22" s="1" customFormat="1" ht="10.35" customHeight="1">
      <c r="A35" s="23">
        <v>2004</v>
      </c>
      <c r="B35" s="8"/>
      <c r="C35" s="31">
        <f>59541456809/4317804</f>
        <v>13789.754423544931</v>
      </c>
      <c r="D35" s="31"/>
      <c r="E35" s="31">
        <f>2087428474/710718</f>
        <v>2937.0699405390042</v>
      </c>
      <c r="F35" s="31"/>
      <c r="G35" s="31">
        <f>734467197/7207</f>
        <v>101910.25350353823</v>
      </c>
      <c r="H35" s="31"/>
      <c r="I35" s="31"/>
      <c r="J35" s="31"/>
      <c r="K35" s="31"/>
      <c r="L35" s="31"/>
      <c r="M35" s="31">
        <f>32140453338/1162421</f>
        <v>27649.580778392683</v>
      </c>
      <c r="N35" s="31"/>
      <c r="O35" s="31">
        <f>569699920/2249243</f>
        <v>253.28518083639696</v>
      </c>
      <c r="P35" s="31"/>
      <c r="Q35" s="31">
        <f>623612365/1238439</f>
        <v>503.54709840371629</v>
      </c>
      <c r="R35" s="31"/>
      <c r="S35" s="31">
        <f>1057975038/258139</f>
        <v>4098.4703512448723</v>
      </c>
      <c r="T35" s="31"/>
      <c r="U35" s="31">
        <f>9703257490/3547823</f>
        <v>2734.9891722332259</v>
      </c>
      <c r="V35" s="31"/>
    </row>
    <row r="36" spans="1:22" s="1" customFormat="1" ht="10.35" customHeight="1">
      <c r="A36" s="23">
        <v>2005</v>
      </c>
      <c r="B36" s="8"/>
      <c r="C36" s="31">
        <f>62929039209/4369608</f>
        <v>14401.529658724536</v>
      </c>
      <c r="D36" s="31"/>
      <c r="E36" s="31">
        <f>1751057225/686079</f>
        <v>2552.2676324446602</v>
      </c>
      <c r="F36" s="31"/>
      <c r="G36" s="31">
        <f>794853228/7207</f>
        <v>110289.05619536561</v>
      </c>
      <c r="H36" s="31"/>
      <c r="I36" s="31"/>
      <c r="J36" s="31"/>
      <c r="K36" s="31"/>
      <c r="L36" s="31"/>
      <c r="M36" s="31">
        <f>33778000145/1143382</f>
        <v>29542.182879387641</v>
      </c>
      <c r="N36" s="31"/>
      <c r="O36" s="31">
        <f>610970799/2224067</f>
        <v>274.70881003135247</v>
      </c>
      <c r="P36" s="31"/>
      <c r="Q36" s="31">
        <f>577788187/1297332</f>
        <v>445.3664805924775</v>
      </c>
      <c r="R36" s="31"/>
      <c r="S36" s="31">
        <f>1215541714/274766</f>
        <v>4423.9160376465788</v>
      </c>
      <c r="T36" s="31"/>
      <c r="U36" s="31">
        <f>10576409421/3592590</f>
        <v>2943.9511385936053</v>
      </c>
      <c r="V36" s="31"/>
    </row>
    <row r="37" spans="1:22" s="1" customFormat="1" ht="10.35" customHeight="1">
      <c r="A37" s="23">
        <v>2006</v>
      </c>
      <c r="B37" s="8"/>
      <c r="C37" s="31">
        <f>57456964053/4330338</f>
        <v>13268.470972242814</v>
      </c>
      <c r="D37" s="31"/>
      <c r="E37" s="31">
        <f>1762031257/651900</f>
        <v>2702.9164856573093</v>
      </c>
      <c r="F37" s="31"/>
      <c r="G37" s="31">
        <f>823966125/7439</f>
        <v>110763.02258368061</v>
      </c>
      <c r="H37" s="31"/>
      <c r="I37" s="31"/>
      <c r="J37" s="31"/>
      <c r="K37" s="31"/>
      <c r="L37" s="31"/>
      <c r="M37" s="31">
        <f>34283601103/1117871</f>
        <v>30668.655956724881</v>
      </c>
      <c r="N37" s="31"/>
      <c r="O37" s="31">
        <f>584663006/2247988</f>
        <v>260.0827967053205</v>
      </c>
      <c r="P37" s="31"/>
      <c r="Q37" s="31">
        <f>556548438/1315856</f>
        <v>422.9554282535475</v>
      </c>
      <c r="R37" s="31"/>
      <c r="S37" s="31">
        <f>1433554261/271927</f>
        <v>5271.8349446726515</v>
      </c>
      <c r="T37" s="31"/>
      <c r="U37" s="31">
        <f>3974980607/3382215</f>
        <v>1175.2595878736272</v>
      </c>
      <c r="V37" s="31"/>
    </row>
    <row r="38" spans="1:22" s="1" customFormat="1" ht="10.35" customHeight="1">
      <c r="A38" s="23">
        <v>2007</v>
      </c>
      <c r="B38" s="8"/>
      <c r="C38" s="31">
        <f>57179292164/4043618</f>
        <v>14140.626578475019</v>
      </c>
      <c r="D38" s="31"/>
      <c r="E38" s="31">
        <f>1798878530/605332</f>
        <v>2971.7221789034779</v>
      </c>
      <c r="F38" s="31"/>
      <c r="G38" s="31">
        <f>851046535/7362</f>
        <v>115599.90967128497</v>
      </c>
      <c r="H38" s="31"/>
      <c r="I38" s="31"/>
      <c r="J38" s="31"/>
      <c r="K38" s="31"/>
      <c r="L38" s="31"/>
      <c r="M38" s="31">
        <f>34980238797/1101012</f>
        <v>31770.987779424748</v>
      </c>
      <c r="N38" s="31"/>
      <c r="O38" s="31">
        <f>605867736/2210275</f>
        <v>274.11418760109035</v>
      </c>
      <c r="P38" s="31"/>
      <c r="Q38" s="31">
        <f>624543693/1282102</f>
        <v>487.12480988252105</v>
      </c>
      <c r="R38" s="31"/>
      <c r="S38" s="31">
        <f>1580925968/265349</f>
        <v>5957.9119122363381</v>
      </c>
      <c r="T38" s="31"/>
      <c r="U38" s="31">
        <f>853084261/1930118</f>
        <v>441.98554751574773</v>
      </c>
      <c r="V38" s="31"/>
    </row>
    <row r="39" spans="1:22" s="1" customFormat="1" ht="10.5" customHeight="1">
      <c r="A39" s="7" t="s">
        <v>32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</row>
    <row r="40" spans="1:22" s="1" customFormat="1" ht="11.2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</row>
    <row r="41" spans="1:22" s="1" customFormat="1" ht="11.2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</row>
    <row r="42" spans="1:22" s="1" customFormat="1" ht="11.25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</row>
    <row r="43" spans="1:22" s="1" customFormat="1" ht="11.2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</row>
    <row r="44" spans="1:22" s="1" customFormat="1" ht="11.2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</row>
    <row r="45" spans="1:22" s="1" customFormat="1" ht="11.2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</row>
    <row r="46" spans="1:22" s="2" customFormat="1" ht="15" customHeight="1">
      <c r="A46" s="43" t="s">
        <v>62</v>
      </c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</row>
    <row r="47" spans="1:22" s="6" customFormat="1" ht="15" customHeight="1">
      <c r="A47" s="46" t="s">
        <v>35</v>
      </c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</row>
    <row r="48" spans="1:22" s="3" customFormat="1" ht="15" customHeight="1">
      <c r="A48" s="45" t="s">
        <v>63</v>
      </c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</row>
    <row r="49" spans="1:22" s="1" customFormat="1" ht="10.5" customHeight="1">
      <c r="A49" s="19"/>
      <c r="B49" s="20"/>
      <c r="C49" s="20"/>
      <c r="D49" s="20"/>
      <c r="E49" s="21" t="s">
        <v>1</v>
      </c>
      <c r="F49" s="20"/>
      <c r="G49" s="20"/>
      <c r="H49" s="20"/>
      <c r="I49" s="20"/>
      <c r="J49" s="20"/>
      <c r="K49" s="21" t="s">
        <v>2</v>
      </c>
      <c r="L49" s="20"/>
      <c r="M49" s="22" t="s">
        <v>33</v>
      </c>
      <c r="N49" s="20"/>
      <c r="O49" s="20"/>
      <c r="P49" s="20"/>
      <c r="Q49" s="21" t="s">
        <v>3</v>
      </c>
      <c r="R49" s="20"/>
      <c r="S49" s="21" t="s">
        <v>61</v>
      </c>
      <c r="T49" s="20"/>
      <c r="U49" s="21" t="s">
        <v>4</v>
      </c>
      <c r="V49" s="20"/>
    </row>
    <row r="50" spans="1:22" s="1" customFormat="1" ht="15" customHeight="1">
      <c r="A50" s="23" t="s">
        <v>5</v>
      </c>
      <c r="B50" s="8"/>
      <c r="C50" s="32" t="s">
        <v>52</v>
      </c>
      <c r="D50" s="26"/>
      <c r="E50" s="32" t="s">
        <v>6</v>
      </c>
      <c r="F50" s="26"/>
      <c r="G50" s="32" t="s">
        <v>7</v>
      </c>
      <c r="H50" s="26"/>
      <c r="I50" s="32" t="s">
        <v>8</v>
      </c>
      <c r="J50" s="26"/>
      <c r="K50" s="32" t="s">
        <v>9</v>
      </c>
      <c r="L50" s="26"/>
      <c r="M50" s="32" t="s">
        <v>53</v>
      </c>
      <c r="N50" s="26"/>
      <c r="O50" s="32" t="s">
        <v>10</v>
      </c>
      <c r="P50" s="26"/>
      <c r="Q50" s="32" t="s">
        <v>6</v>
      </c>
      <c r="R50" s="26"/>
      <c r="S50" s="25" t="s">
        <v>60</v>
      </c>
      <c r="T50" s="26"/>
      <c r="U50" s="32" t="s">
        <v>11</v>
      </c>
      <c r="V50" s="26"/>
    </row>
    <row r="51" spans="1:22" s="1" customFormat="1" ht="10.35" customHeight="1">
      <c r="A51" s="28"/>
      <c r="B51" s="28"/>
      <c r="C51" s="44" t="s">
        <v>64</v>
      </c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</row>
    <row r="52" spans="1:22" s="1" customFormat="1" ht="10.15" customHeight="1">
      <c r="A52" s="23" t="s">
        <v>12</v>
      </c>
      <c r="B52" s="8"/>
      <c r="C52" s="34">
        <f>C6/0.16627746</f>
        <v>7246.9233051791871</v>
      </c>
      <c r="D52" s="34"/>
      <c r="E52" s="34">
        <f>E6/0.16627746</f>
        <v>1629.8059881357342</v>
      </c>
      <c r="F52" s="34"/>
      <c r="G52" s="34">
        <f>G6/0.16627746</f>
        <v>41647.256338892839</v>
      </c>
      <c r="H52" s="34"/>
      <c r="I52" s="34">
        <f>I6/0.245071</f>
        <v>11274.283778986497</v>
      </c>
      <c r="J52" s="34">
        <f>J6/0.245071</f>
        <v>0</v>
      </c>
      <c r="K52" s="34">
        <f>K6/0.245071</f>
        <v>15318.009882850276</v>
      </c>
      <c r="L52" s="34">
        <f>L6/0.245071</f>
        <v>0</v>
      </c>
      <c r="M52" s="34">
        <f>M6/0.16627746</f>
        <v>19545.643769155486</v>
      </c>
      <c r="N52" s="34"/>
      <c r="O52" s="34">
        <f>O6/0.16627746</f>
        <v>354.8286099631303</v>
      </c>
      <c r="P52" s="34"/>
      <c r="Q52" s="34">
        <f>Q6/0.16627746</f>
        <v>210.49154828321289</v>
      </c>
      <c r="R52" s="34"/>
      <c r="S52" s="34">
        <f>S6/0.16627746</f>
        <v>1431.3425283258478</v>
      </c>
      <c r="T52" s="34"/>
      <c r="U52" s="34">
        <f>U6/0.16627746</f>
        <v>667.55891026961808</v>
      </c>
      <c r="V52" s="8"/>
    </row>
    <row r="53" spans="1:22" s="1" customFormat="1" ht="10.15" customHeight="1">
      <c r="A53" s="23" t="s">
        <v>13</v>
      </c>
      <c r="B53" s="8"/>
      <c r="C53" s="35">
        <f>C7/0.18619864</f>
        <v>7298.6569611894047</v>
      </c>
      <c r="D53" s="36"/>
      <c r="E53" s="35">
        <f>E7/0.18619864</f>
        <v>1664.8886372102395</v>
      </c>
      <c r="F53" s="31"/>
      <c r="G53" s="35">
        <f>G7/0.18619864</f>
        <v>48072.316747318888</v>
      </c>
      <c r="H53" s="31"/>
      <c r="I53" s="31">
        <f>I7/0.267557</f>
        <v>11156.501231513286</v>
      </c>
      <c r="J53" s="31">
        <f>J7/0.267557</f>
        <v>0</v>
      </c>
      <c r="K53" s="31">
        <f>K7/0.267557</f>
        <v>13836.304039886829</v>
      </c>
      <c r="L53" s="31">
        <f>L7/0.267557</f>
        <v>0</v>
      </c>
      <c r="M53" s="35">
        <f>M7/0.18619864</f>
        <v>17873.385111727992</v>
      </c>
      <c r="N53" s="31"/>
      <c r="O53" s="35">
        <f>O7/0.18619864</f>
        <v>349.08955296343731</v>
      </c>
      <c r="P53" s="31"/>
      <c r="Q53" s="35">
        <f>Q7/0.18619864</f>
        <v>225.56555729945183</v>
      </c>
      <c r="R53" s="31"/>
      <c r="S53" s="35">
        <f>S7/0.18619864</f>
        <v>2647.7099940149938</v>
      </c>
      <c r="T53" s="31"/>
      <c r="U53" s="35">
        <f>U7/0.18619864</f>
        <v>719.66153995539389</v>
      </c>
      <c r="V53" s="8"/>
    </row>
    <row r="54" spans="1:22" s="1" customFormat="1" ht="10.15" customHeight="1">
      <c r="A54" s="23" t="s">
        <v>14</v>
      </c>
      <c r="B54" s="8"/>
      <c r="C54" s="35">
        <f>C8/0.20407151</f>
        <v>7409.1675021172723</v>
      </c>
      <c r="D54" s="31"/>
      <c r="E54" s="35">
        <f>E8/0.20407151</f>
        <v>1783.6884727319359</v>
      </c>
      <c r="F54" s="31"/>
      <c r="G54" s="35">
        <f>G8/0.20407151</f>
        <v>36663.618552143802</v>
      </c>
      <c r="H54" s="31"/>
      <c r="I54" s="31">
        <f>I8/0.293164</f>
        <v>11676.05845192452</v>
      </c>
      <c r="J54" s="31">
        <f>J8/0.293164</f>
        <v>0</v>
      </c>
      <c r="K54" s="31">
        <f>K8/0.293164</f>
        <v>13531.675103355119</v>
      </c>
      <c r="L54" s="31">
        <f>L8/0.293164</f>
        <v>0</v>
      </c>
      <c r="M54" s="35">
        <f>M8/0.20407151</f>
        <v>18027.994206540636</v>
      </c>
      <c r="N54" s="31"/>
      <c r="O54" s="35">
        <f>O8/0.20407151</f>
        <v>347.91725704386664</v>
      </c>
      <c r="P54" s="31"/>
      <c r="Q54" s="35">
        <f>Q8/0.20407151</f>
        <v>259.71288201866099</v>
      </c>
      <c r="R54" s="31"/>
      <c r="S54" s="35">
        <f>S8/0.20407151</f>
        <v>2621.6300354713894</v>
      </c>
      <c r="T54" s="31"/>
      <c r="U54" s="35">
        <f>U8/0.20407151</f>
        <v>705.63500020164497</v>
      </c>
      <c r="V54" s="8"/>
    </row>
    <row r="55" spans="1:22" s="1" customFormat="1" ht="10.15" customHeight="1">
      <c r="A55" s="23" t="s">
        <v>15</v>
      </c>
      <c r="B55" s="8"/>
      <c r="C55" s="35">
        <f>C9/0.22215957</f>
        <v>8412.8718830343441</v>
      </c>
      <c r="D55" s="31"/>
      <c r="E55" s="35">
        <f>E9/0.22215957</f>
        <v>2007.56600312109</v>
      </c>
      <c r="F55" s="31"/>
      <c r="G55" s="35">
        <f>G9/0.22215957</f>
        <v>43662.309933351062</v>
      </c>
      <c r="H55" s="31"/>
      <c r="I55" s="31">
        <f>I9/0.3213</f>
        <v>12598.817304699658</v>
      </c>
      <c r="J55" s="31">
        <f>J9/0.3213</f>
        <v>0</v>
      </c>
      <c r="K55" s="31">
        <f>K9/0.3213</f>
        <v>14578.275754746344</v>
      </c>
      <c r="L55" s="31">
        <f>L9/0.3213</f>
        <v>0</v>
      </c>
      <c r="M55" s="35">
        <f>M9/0.22215957</f>
        <v>19580.520434028567</v>
      </c>
      <c r="N55" s="31"/>
      <c r="O55" s="35">
        <f>O9/0.22215957</f>
        <v>351.09898709292605</v>
      </c>
      <c r="P55" s="31"/>
      <c r="Q55" s="35">
        <f>Q9/0.22215957</f>
        <v>216.06091513410834</v>
      </c>
      <c r="R55" s="31"/>
      <c r="S55" s="35">
        <f>S9/0.22215957</f>
        <v>3605.5165213004329</v>
      </c>
      <c r="T55" s="31"/>
      <c r="U55" s="35">
        <f>U9/0.22215957</f>
        <v>711.20051231643993</v>
      </c>
      <c r="V55" s="8"/>
    </row>
    <row r="56" spans="1:22" s="1" customFormat="1" ht="10.15" customHeight="1">
      <c r="A56" s="23" t="s">
        <v>16</v>
      </c>
      <c r="B56" s="8"/>
      <c r="C56" s="35">
        <f>C10/0.24096693</f>
        <v>8689.9891200838229</v>
      </c>
      <c r="D56" s="31"/>
      <c r="E56" s="35">
        <f>E10/0.24096693</f>
        <v>2361.3198707391093</v>
      </c>
      <c r="F56" s="31"/>
      <c r="G56" s="35">
        <f>G10/0.24096693</f>
        <v>40686.080865951189</v>
      </c>
      <c r="H56" s="31"/>
      <c r="I56" s="31">
        <f>I10/0.349451</f>
        <v>13452.529825354628</v>
      </c>
      <c r="J56" s="31">
        <f>J10/0.349451</f>
        <v>0</v>
      </c>
      <c r="K56" s="31">
        <f>K10/0.349451</f>
        <v>15192.401795959948</v>
      </c>
      <c r="L56" s="31">
        <f>L10/0.349451</f>
        <v>0</v>
      </c>
      <c r="M56" s="35">
        <f>M10/0.24096693</f>
        <v>20633.536726388142</v>
      </c>
      <c r="N56" s="31"/>
      <c r="O56" s="35">
        <f>O10/0.24096693</f>
        <v>344.44560504630243</v>
      </c>
      <c r="P56" s="31"/>
      <c r="Q56" s="35">
        <f>Q10/0.24096693</f>
        <v>278.04645226629231</v>
      </c>
      <c r="R56" s="31"/>
      <c r="S56" s="35">
        <f>S10/0.24096693</f>
        <v>5755.9765566171263</v>
      </c>
      <c r="T56" s="31"/>
      <c r="U56" s="35">
        <f>U10/0.24096693</f>
        <v>742.84052172636302</v>
      </c>
      <c r="V56" s="8"/>
    </row>
    <row r="57" spans="1:22" s="1" customFormat="1" ht="10.15" customHeight="1">
      <c r="A57" s="23" t="s">
        <v>17</v>
      </c>
      <c r="B57" s="8"/>
      <c r="C57" s="35">
        <f>C11/0.26386094</f>
        <v>9626.2826926941143</v>
      </c>
      <c r="D57" s="31"/>
      <c r="E57" s="35">
        <f>E11/0.26386094</f>
        <v>3676.1788235879098</v>
      </c>
      <c r="F57" s="31"/>
      <c r="G57" s="35">
        <f>G11/0.26386094</f>
        <v>61949.297990070074</v>
      </c>
      <c r="H57" s="31"/>
      <c r="I57" s="31">
        <f>I11/0.385079</f>
        <v>13851.703157014534</v>
      </c>
      <c r="J57" s="31">
        <f>J11/0.385079</f>
        <v>0</v>
      </c>
      <c r="K57" s="31">
        <f>K11/0.385079</f>
        <v>16271.985748378904</v>
      </c>
      <c r="L57" s="31">
        <f>L11/0.385079</f>
        <v>0</v>
      </c>
      <c r="M57" s="35">
        <f>M11/0.26386094</f>
        <v>21761.46268561008</v>
      </c>
      <c r="N57" s="31"/>
      <c r="O57" s="35">
        <f>O11/0.26386094</f>
        <v>382.77738266224628</v>
      </c>
      <c r="P57" s="31"/>
      <c r="Q57" s="35">
        <f>Q11/0.26386094</f>
        <v>280.45075561392304</v>
      </c>
      <c r="R57" s="31"/>
      <c r="S57" s="35">
        <f>S11/0.26386094</f>
        <v>7098.4360170929431</v>
      </c>
      <c r="T57" s="31"/>
      <c r="U57" s="35">
        <f>U11/0.26386094</f>
        <v>750.39526502103729</v>
      </c>
      <c r="V57" s="8"/>
    </row>
    <row r="58" spans="1:22" s="1" customFormat="1" ht="10.15" customHeight="1">
      <c r="A58" s="23" t="s">
        <v>18</v>
      </c>
      <c r="B58" s="8"/>
      <c r="C58" s="35">
        <f>C12/0.29497607</f>
        <v>9994.0310412298877</v>
      </c>
      <c r="D58" s="31"/>
      <c r="E58" s="35">
        <f>E12/0.29497607</f>
        <v>3779.9676427989566</v>
      </c>
      <c r="F58" s="31"/>
      <c r="G58" s="35">
        <f>G12/0.29497607</f>
        <v>65249.360736279392</v>
      </c>
      <c r="H58" s="31"/>
      <c r="I58" s="31">
        <f>I12/0.429902</f>
        <v>13265.814069252992</v>
      </c>
      <c r="J58" s="31">
        <f>J12/0.429902</f>
        <v>0</v>
      </c>
      <c r="K58" s="31">
        <f>K12/0.429902</f>
        <v>15540.751147936042</v>
      </c>
      <c r="L58" s="31">
        <f>L12/0.429902</f>
        <v>0</v>
      </c>
      <c r="M58" s="35">
        <f>M12/0.29497607</f>
        <v>20805.077510185827</v>
      </c>
      <c r="N58" s="31"/>
      <c r="O58" s="35">
        <f>O12/0.29497607</f>
        <v>400.03245008993446</v>
      </c>
      <c r="P58" s="31"/>
      <c r="Q58" s="35">
        <f>Q12/0.29497607</f>
        <v>308.49960134054265</v>
      </c>
      <c r="R58" s="31"/>
      <c r="S58" s="35">
        <f>S12/0.29497607</f>
        <v>8895.6368562371863</v>
      </c>
      <c r="T58" s="31"/>
      <c r="U58" s="35">
        <f>U12/0.29497607</f>
        <v>779.72426712444849</v>
      </c>
      <c r="V58" s="8"/>
    </row>
    <row r="59" spans="1:22" s="1" customFormat="1" ht="10.15" customHeight="1">
      <c r="A59" s="23" t="s">
        <v>19</v>
      </c>
      <c r="B59" s="8"/>
      <c r="C59" s="35">
        <f>C13/0.32882294</f>
        <v>10081.413419635503</v>
      </c>
      <c r="D59" s="31"/>
      <c r="E59" s="35">
        <f>E13/0.32882294</f>
        <v>3774.0675878635475</v>
      </c>
      <c r="F59" s="31"/>
      <c r="G59" s="35">
        <f>G13/0.32882294</f>
        <v>34863.74764485714</v>
      </c>
      <c r="H59" s="31"/>
      <c r="I59" s="31">
        <f>I13/0.4277834</f>
        <v>14502.666536382665</v>
      </c>
      <c r="J59" s="31">
        <f>J13/0.4277834</f>
        <v>0</v>
      </c>
      <c r="K59" s="31">
        <f>K13/0.4277834</f>
        <v>18640.274494054702</v>
      </c>
      <c r="L59" s="31">
        <f>L13/0.4277834</f>
        <v>0</v>
      </c>
      <c r="M59" s="35">
        <f>M13/0.32882294</f>
        <v>21120.789200412841</v>
      </c>
      <c r="N59" s="31"/>
      <c r="O59" s="35">
        <f>O13/0.32882294</f>
        <v>349.73229057559064</v>
      </c>
      <c r="P59" s="31"/>
      <c r="Q59" s="35">
        <f>Q13/0.32882294</f>
        <v>307.15618563595348</v>
      </c>
      <c r="R59" s="31"/>
      <c r="S59" s="35">
        <f>S13/0.32882294</f>
        <v>8953.1466387351193</v>
      </c>
      <c r="T59" s="31"/>
      <c r="U59" s="35">
        <f>U13/0.32882294</f>
        <v>757.24643785497449</v>
      </c>
      <c r="V59" s="8"/>
    </row>
    <row r="60" spans="1:22" s="1" customFormat="1" ht="10.15" customHeight="1">
      <c r="A60" s="23" t="s">
        <v>20</v>
      </c>
      <c r="B60" s="8"/>
      <c r="C60" s="35">
        <f>C14/0.35693734</f>
        <v>9931.715185640147</v>
      </c>
      <c r="D60" s="31"/>
      <c r="E60" s="35">
        <f>E14/0.35693734</f>
        <v>4712.3116903375812</v>
      </c>
      <c r="F60" s="31"/>
      <c r="G60" s="35">
        <f>G14/0.35693734</f>
        <v>57007.2046819198</v>
      </c>
      <c r="H60" s="31"/>
      <c r="I60" s="31">
        <f>I14/0.477834</f>
        <v>13276.577221378137</v>
      </c>
      <c r="J60" s="31">
        <f>J14/0.477834</f>
        <v>0</v>
      </c>
      <c r="K60" s="31">
        <f>K14/0.477834</f>
        <v>16275.526647329409</v>
      </c>
      <c r="L60" s="31">
        <f>L14/0.477834</f>
        <v>0</v>
      </c>
      <c r="M60" s="35">
        <f>M14/0.35693734</f>
        <v>19448.7917683255</v>
      </c>
      <c r="N60" s="31"/>
      <c r="O60" s="35">
        <f>O14/0.35693734</f>
        <v>319.38378876247577</v>
      </c>
      <c r="P60" s="31"/>
      <c r="Q60" s="35">
        <f>Q14/0.35693734</f>
        <v>271.75638166631711</v>
      </c>
      <c r="R60" s="31"/>
      <c r="S60" s="35">
        <f>S14/0.35693734</f>
        <v>5124.1486811102477</v>
      </c>
      <c r="T60" s="31"/>
      <c r="U60" s="35">
        <f>U14/0.35693734</f>
        <v>767.64173790279267</v>
      </c>
      <c r="V60" s="8"/>
    </row>
    <row r="61" spans="1:22" s="1" customFormat="1" ht="10.15" customHeight="1">
      <c r="A61" s="23" t="s">
        <v>21</v>
      </c>
      <c r="B61" s="8"/>
      <c r="C61" s="35">
        <f>C15/0.38479272</f>
        <v>10283.458585183213</v>
      </c>
      <c r="D61" s="31"/>
      <c r="E61" s="35">
        <f>E15/0.38479272</f>
        <v>4620.6695386544734</v>
      </c>
      <c r="F61" s="31"/>
      <c r="G61" s="35">
        <f>G15/0.38479272</f>
        <v>60663.829606755557</v>
      </c>
      <c r="H61" s="31"/>
      <c r="I61" s="31">
        <f>I15/0.5543</f>
        <v>12464.369475013531</v>
      </c>
      <c r="J61" s="31">
        <f>J15/0.5543</f>
        <v>0</v>
      </c>
      <c r="K61" s="31">
        <f>K15/0.5543</f>
        <v>14780.804618437669</v>
      </c>
      <c r="L61" s="31">
        <f>L15/0.5543</f>
        <v>0</v>
      </c>
      <c r="M61" s="35">
        <f>M15/0.38479272</f>
        <v>19309.097115974546</v>
      </c>
      <c r="N61" s="31"/>
      <c r="O61" s="35">
        <f>O15/0.38479272</f>
        <v>309.25741006742538</v>
      </c>
      <c r="P61" s="31"/>
      <c r="Q61" s="35">
        <f>Q15/0.38479272</f>
        <v>272.87418535361064</v>
      </c>
      <c r="R61" s="31"/>
      <c r="S61" s="35">
        <f>S15/0.38479272</f>
        <v>5881.0883948116279</v>
      </c>
      <c r="T61" s="31"/>
      <c r="U61" s="35">
        <f>U15/0.38479272</f>
        <v>810.82615076501452</v>
      </c>
      <c r="V61" s="8"/>
    </row>
    <row r="62" spans="1:22" s="1" customFormat="1" ht="10.15" customHeight="1">
      <c r="A62" s="23" t="s">
        <v>22</v>
      </c>
      <c r="B62" s="8"/>
      <c r="C62" s="35">
        <f>C16/0.40629794</f>
        <v>11334.047128075519</v>
      </c>
      <c r="D62" s="31"/>
      <c r="E62" s="35">
        <f>E16/0.40629794</f>
        <v>4897.8835580608647</v>
      </c>
      <c r="F62" s="31"/>
      <c r="G62" s="35">
        <f>G16/0.40629794</f>
        <v>66271.564162988376</v>
      </c>
      <c r="H62" s="31"/>
      <c r="I62" s="31">
        <f>I16/0.585905</f>
        <v>12785.349160700112</v>
      </c>
      <c r="J62" s="31">
        <f>J16/0.585905</f>
        <v>0</v>
      </c>
      <c r="K62" s="31">
        <f>K16/0.585905</f>
        <v>15161.160939060086</v>
      </c>
      <c r="L62" s="31">
        <f>L16/0.585905</f>
        <v>0</v>
      </c>
      <c r="M62" s="35">
        <f>M16/0.40629794</f>
        <v>19776.127833677914</v>
      </c>
      <c r="N62" s="31"/>
      <c r="O62" s="35">
        <f>O16/0.40629794</f>
        <v>300.27225833337968</v>
      </c>
      <c r="P62" s="31"/>
      <c r="Q62" s="35">
        <f>Q16/0.40629794</f>
        <v>322.42349050551422</v>
      </c>
      <c r="R62" s="31"/>
      <c r="S62" s="35">
        <f>S16/0.40629794</f>
        <v>6721.6683402332774</v>
      </c>
      <c r="T62" s="31"/>
      <c r="U62" s="35">
        <f>U16/0.40629794</f>
        <v>905.73927103839117</v>
      </c>
      <c r="V62" s="8"/>
    </row>
    <row r="63" spans="1:22" s="1" customFormat="1" ht="10.15" customHeight="1">
      <c r="A63" s="23" t="s">
        <v>23</v>
      </c>
      <c r="B63" s="8"/>
      <c r="C63" s="35">
        <f>C17/0.42173397</f>
        <v>11400.551869226943</v>
      </c>
      <c r="D63" s="31"/>
      <c r="E63" s="35">
        <f>E17/0.42173397</f>
        <v>5282.9512405652313</v>
      </c>
      <c r="F63" s="31"/>
      <c r="G63" s="35">
        <f>G17/0.42173397</f>
        <v>76654.958574951874</v>
      </c>
      <c r="H63" s="31"/>
      <c r="I63" s="31">
        <f>I17/0.608646</f>
        <v>12862.977822905268</v>
      </c>
      <c r="J63" s="31">
        <f>J17/0.608646</f>
        <v>0</v>
      </c>
      <c r="K63" s="31">
        <f>K17/0.608646</f>
        <v>15568.984270002595</v>
      </c>
      <c r="L63" s="31">
        <f>L17/0.608646</f>
        <v>0</v>
      </c>
      <c r="M63" s="35">
        <f>M17/0.42173397</f>
        <v>20124.060672655796</v>
      </c>
      <c r="N63" s="31"/>
      <c r="O63" s="35">
        <f>O17/0.42173397</f>
        <v>282.16840108943558</v>
      </c>
      <c r="P63" s="31"/>
      <c r="Q63" s="35">
        <f>Q17/0.42173397</f>
        <v>336.70515087983068</v>
      </c>
      <c r="R63" s="31"/>
      <c r="S63" s="35">
        <f>S17/0.42173397</f>
        <v>7149.0565486104897</v>
      </c>
      <c r="T63" s="31"/>
      <c r="U63" s="35">
        <f>U17/0.42173397</f>
        <v>934.23823553981197</v>
      </c>
      <c r="V63" s="8"/>
    </row>
    <row r="64" spans="1:22" s="1" customFormat="1" ht="10.15" customHeight="1">
      <c r="A64" s="23" t="s">
        <v>24</v>
      </c>
      <c r="B64" s="8"/>
      <c r="C64" s="35">
        <f>C18/0.43799489</f>
        <v>11358.580005351203</v>
      </c>
      <c r="D64" s="31"/>
      <c r="E64" s="35">
        <f>E18/0.43799489</f>
        <v>4333.3838894787104</v>
      </c>
      <c r="F64" s="31"/>
      <c r="G64" s="35">
        <f>G18/0.43799489</f>
        <v>90991.929152415454</v>
      </c>
      <c r="H64" s="31"/>
      <c r="I64" s="31">
        <f>I18/0.634799</f>
        <v>12930.077079516508</v>
      </c>
      <c r="J64" s="31">
        <f>J18/0.634799</f>
        <v>0</v>
      </c>
      <c r="K64" s="31">
        <f>K18/0.634799</f>
        <v>15556.105160846189</v>
      </c>
      <c r="L64" s="31">
        <f>L18/0.634799</f>
        <v>0</v>
      </c>
      <c r="M64" s="35">
        <f>M18/0.43799489</f>
        <v>20233.112765311027</v>
      </c>
      <c r="N64" s="31"/>
      <c r="O64" s="35">
        <f>O18/0.43799489</f>
        <v>253.42761418974544</v>
      </c>
      <c r="P64" s="31"/>
      <c r="Q64" s="35">
        <f>Q18/0.43799489</f>
        <v>363.01793383936507</v>
      </c>
      <c r="R64" s="31"/>
      <c r="S64" s="35">
        <f>S18/0.43799489</f>
        <v>8107.4005224124867</v>
      </c>
      <c r="T64" s="31"/>
      <c r="U64" s="35">
        <f>U18/0.43799489</f>
        <v>986.31287684657684</v>
      </c>
      <c r="V64" s="8"/>
    </row>
    <row r="65" spans="1:23" s="1" customFormat="1" ht="10.15" customHeight="1">
      <c r="A65" s="23" t="s">
        <v>25</v>
      </c>
      <c r="B65" s="8"/>
      <c r="C65" s="35">
        <f>C19/0.46780293</f>
        <v>11596.7636200996</v>
      </c>
      <c r="D65" s="31"/>
      <c r="E65" s="35">
        <f>E19/0.46780293</f>
        <v>4140.6324667526133</v>
      </c>
      <c r="F65" s="31"/>
      <c r="G65" s="35">
        <f>G19/0.46780293</f>
        <v>97479.081629522931</v>
      </c>
      <c r="H65" s="31"/>
      <c r="I65" s="31">
        <f>I19/0.678796</f>
        <v>13105.557487080066</v>
      </c>
      <c r="J65" s="31">
        <f>J19/0.678796</f>
        <v>0</v>
      </c>
      <c r="K65" s="31">
        <f>K19/0.678796</f>
        <v>14614.110866887844</v>
      </c>
      <c r="L65" s="31">
        <f>L19/0.678796</f>
        <v>0</v>
      </c>
      <c r="M65" s="35">
        <f>M19/0.46780293</f>
        <v>19899.405076406852</v>
      </c>
      <c r="N65" s="31"/>
      <c r="O65" s="35">
        <f>O19/0.46780293</f>
        <v>247.9676645035122</v>
      </c>
      <c r="P65" s="31"/>
      <c r="Q65" s="35">
        <f>Q19/0.46780293</f>
        <v>374.089149035471</v>
      </c>
      <c r="R65" s="31"/>
      <c r="S65" s="35">
        <f>S19/0.46780293</f>
        <v>9285.9615052004901</v>
      </c>
      <c r="T65" s="31"/>
      <c r="U65" s="35">
        <f>U19/0.46780293</f>
        <v>1013.2471808160757</v>
      </c>
      <c r="V65" s="36"/>
    </row>
    <row r="66" spans="1:23" s="1" customFormat="1" ht="10.15" customHeight="1">
      <c r="A66" s="23" t="s">
        <v>26</v>
      </c>
      <c r="B66" s="8"/>
      <c r="C66" s="35">
        <f>C20/0.50701366</f>
        <v>11688.048010382994</v>
      </c>
      <c r="D66" s="31"/>
      <c r="E66" s="35">
        <f>E20/0.50701366</f>
        <v>3459.4728670623981</v>
      </c>
      <c r="F66" s="31"/>
      <c r="G66" s="35">
        <f>G20/0.50701366</f>
        <v>101111.67419039557</v>
      </c>
      <c r="H66" s="31"/>
      <c r="I66" s="31">
        <f>I20/0.735113</f>
        <v>13148.998861399539</v>
      </c>
      <c r="J66" s="31">
        <f>J20/0.735113</f>
        <v>0</v>
      </c>
      <c r="K66" s="31">
        <f>K20/0.735113</f>
        <v>15203.104828781425</v>
      </c>
      <c r="L66" s="31">
        <f>L20/0.735113</f>
        <v>0</v>
      </c>
      <c r="M66" s="35">
        <f>M20/0.50701366</f>
        <v>20188.805169470186</v>
      </c>
      <c r="N66" s="31"/>
      <c r="O66" s="35">
        <f>O20/0.50701366</f>
        <v>270.20968231901287</v>
      </c>
      <c r="P66" s="31"/>
      <c r="Q66" s="35">
        <f>Q20/0.50701366</f>
        <v>378.68802193613482</v>
      </c>
      <c r="R66" s="31"/>
      <c r="S66" s="35">
        <f>S20/0.50701366</f>
        <v>10753.161956228161</v>
      </c>
      <c r="T66" s="31"/>
      <c r="U66" s="35">
        <f>U20/0.50701366</f>
        <v>1023.6410592961143</v>
      </c>
      <c r="V66" s="8"/>
    </row>
    <row r="67" spans="1:23" s="1" customFormat="1" ht="10.15" customHeight="1">
      <c r="A67" s="23" t="s">
        <v>27</v>
      </c>
      <c r="B67" s="8"/>
      <c r="C67" s="35">
        <f>C21/0.54597731</f>
        <v>12302.361063319646</v>
      </c>
      <c r="D67" s="31"/>
      <c r="E67" s="35">
        <f>E21/0.54597731</f>
        <v>3415.4166589816705</v>
      </c>
      <c r="F67" s="31"/>
      <c r="G67" s="35">
        <f>G21/0.54597731</f>
        <v>96968.736667829653</v>
      </c>
      <c r="H67" s="31"/>
      <c r="I67" s="31">
        <f>I21/0.792817</f>
        <v>13880.491967250955</v>
      </c>
      <c r="J67" s="31">
        <f>J21/0.792817</f>
        <v>0</v>
      </c>
      <c r="K67" s="31">
        <f>K21/0.792817</f>
        <v>16288.967063017064</v>
      </c>
      <c r="L67" s="31">
        <f>L21/0.792817</f>
        <v>0</v>
      </c>
      <c r="M67" s="35">
        <f>M21/0.54597731</f>
        <v>21568.661891828433</v>
      </c>
      <c r="N67" s="31"/>
      <c r="O67" s="35">
        <f>O21/0.54597731</f>
        <v>255.1571236540947</v>
      </c>
      <c r="P67" s="31"/>
      <c r="Q67" s="35">
        <f>Q21/0.54597731</f>
        <v>376.77389926698601</v>
      </c>
      <c r="R67" s="31"/>
      <c r="S67" s="35">
        <f>S21/0.54597731</f>
        <v>11013.278189161376</v>
      </c>
      <c r="T67" s="31"/>
      <c r="U67" s="35">
        <f>U21/0.54597731</f>
        <v>1064.934365129569</v>
      </c>
      <c r="V67" s="8"/>
    </row>
    <row r="68" spans="1:23" s="1" customFormat="1" ht="10.15" customHeight="1">
      <c r="A68" s="23" t="s">
        <v>28</v>
      </c>
      <c r="B68" s="8"/>
      <c r="C68" s="35">
        <f>C22/0.58091608</f>
        <v>13111.6184630317</v>
      </c>
      <c r="D68" s="31"/>
      <c r="E68" s="35">
        <f>E22/0.58091608</f>
        <v>3703.2027070071813</v>
      </c>
      <c r="F68" s="31"/>
      <c r="G68" s="35">
        <f>G22/0.58091608</f>
        <v>96454.706504251008</v>
      </c>
      <c r="H68" s="31"/>
      <c r="I68" s="31">
        <f>I22/0.842134</f>
        <v>14372.332669147665</v>
      </c>
      <c r="J68" s="31">
        <f>J22/0.842134</f>
        <v>0</v>
      </c>
      <c r="K68" s="31">
        <f>K22/0.842134</f>
        <v>16339.347419769299</v>
      </c>
      <c r="L68" s="31">
        <f>L22/0.842134</f>
        <v>0</v>
      </c>
      <c r="M68" s="35">
        <f>M22/0.58091608</f>
        <v>23308.013784021958</v>
      </c>
      <c r="N68" s="31"/>
      <c r="O68" s="35">
        <f>O22/0.58091608</f>
        <v>270.64150126469218</v>
      </c>
      <c r="P68" s="31"/>
      <c r="Q68" s="35">
        <f>Q22/0.58091608</f>
        <v>417.99497097756358</v>
      </c>
      <c r="R68" s="31"/>
      <c r="S68" s="35">
        <f>S22/0.58091608</f>
        <v>11617.702164484757</v>
      </c>
      <c r="T68" s="31"/>
      <c r="U68" s="35">
        <f>U22/0.58091608</f>
        <v>1150.6825564201977</v>
      </c>
      <c r="V68" s="8"/>
    </row>
    <row r="69" spans="1:23" s="1" customFormat="1" ht="10.15" customHeight="1">
      <c r="A69" s="23" t="s">
        <v>29</v>
      </c>
      <c r="B69" s="8"/>
      <c r="C69" s="35">
        <f>C23/0.61244366</f>
        <v>12668.9204358814</v>
      </c>
      <c r="D69" s="31"/>
      <c r="E69" s="35">
        <f>E23/0.61244366</f>
        <v>3513.7925993061963</v>
      </c>
      <c r="F69" s="31"/>
      <c r="G69" s="35">
        <f>G23/0.61244366</f>
        <v>70346.062525979942</v>
      </c>
      <c r="H69" s="31"/>
      <c r="I69" s="31">
        <f>I23/0.892113</f>
        <v>12539.891246960866</v>
      </c>
      <c r="J69" s="31">
        <f>J23/0.892113</f>
        <v>0</v>
      </c>
      <c r="K69" s="31">
        <f>K23/0.892113</f>
        <v>16855.488037950348</v>
      </c>
      <c r="L69" s="31">
        <f>L23/0.892113</f>
        <v>0</v>
      </c>
      <c r="M69" s="35">
        <f>M23/0.61244366</f>
        <v>23887.911583573255</v>
      </c>
      <c r="N69" s="31"/>
      <c r="O69" s="35">
        <f>O23/0.61244366</f>
        <v>275.94374966670404</v>
      </c>
      <c r="P69" s="31"/>
      <c r="Q69" s="35">
        <f>Q23/0.61244366</f>
        <v>424.52884564108319</v>
      </c>
      <c r="R69" s="31"/>
      <c r="S69" s="35">
        <f>S23/0.61244366</f>
        <v>11338.185785121852</v>
      </c>
      <c r="T69" s="31"/>
      <c r="U69" s="35">
        <f>U23/0.61244366</f>
        <v>1245.8288816313325</v>
      </c>
      <c r="V69" s="8"/>
    </row>
    <row r="70" spans="1:23" s="1" customFormat="1" ht="10.15" customHeight="1">
      <c r="A70" s="23" t="s">
        <v>30</v>
      </c>
      <c r="B70" s="8"/>
      <c r="C70" s="35">
        <f>C24/0.64295108</f>
        <v>12703.921424317383</v>
      </c>
      <c r="D70" s="31"/>
      <c r="E70" s="35">
        <f>E24/0.64295108</f>
        <v>3460.6054320649091</v>
      </c>
      <c r="F70" s="31"/>
      <c r="G70" s="35">
        <f>G24/0.64295108</f>
        <v>94721.047828397772</v>
      </c>
      <c r="H70" s="31"/>
      <c r="I70" s="31">
        <f>I24/0.944651</f>
        <v>0</v>
      </c>
      <c r="J70" s="31">
        <f>J24/0.944651</f>
        <v>0</v>
      </c>
      <c r="K70" s="31">
        <f>K24/0.944651</f>
        <v>0</v>
      </c>
      <c r="L70" s="31">
        <f>L24/0.944651</f>
        <v>0</v>
      </c>
      <c r="M70" s="35">
        <f>M24/0.64295108</f>
        <v>24056.262569774361</v>
      </c>
      <c r="N70" s="31"/>
      <c r="O70" s="35">
        <f>O24/0.64295108</f>
        <v>295.51237397408215</v>
      </c>
      <c r="P70" s="31"/>
      <c r="Q70" s="35">
        <f>Q24/0.64295108</f>
        <v>472.81979835853139</v>
      </c>
      <c r="R70" s="31"/>
      <c r="S70" s="35">
        <f>S24/0.64295108</f>
        <v>10356.931043649542</v>
      </c>
      <c r="T70" s="31"/>
      <c r="U70" s="35">
        <f>U24/0.64295108</f>
        <v>1284.7011626452202</v>
      </c>
      <c r="V70" s="8"/>
    </row>
    <row r="71" spans="1:23" s="1" customFormat="1" ht="10.15" customHeight="1">
      <c r="A71" s="23" t="s">
        <v>31</v>
      </c>
      <c r="B71" s="8"/>
      <c r="C71" s="35">
        <f>C25/0.66950733</f>
        <v>12444.972036377854</v>
      </c>
      <c r="D71" s="31"/>
      <c r="E71" s="35">
        <f>E25/0.66950733</f>
        <v>3256.1256648228186</v>
      </c>
      <c r="F71" s="31"/>
      <c r="G71" s="35">
        <f>G25/0.66950733</f>
        <v>80630.932001894587</v>
      </c>
      <c r="H71" s="31"/>
      <c r="I71" s="31">
        <f>I25/0.989479</f>
        <v>0</v>
      </c>
      <c r="J71" s="31">
        <f>J25/0.989479</f>
        <v>0</v>
      </c>
      <c r="K71" s="31">
        <f>K25/0.989479</f>
        <v>0</v>
      </c>
      <c r="L71" s="31">
        <f>L25/0.989479</f>
        <v>0</v>
      </c>
      <c r="M71" s="35">
        <f>M25/0.66950733</f>
        <v>24210.3398628959</v>
      </c>
      <c r="N71" s="31"/>
      <c r="O71" s="35">
        <f>O25/0.66950733</f>
        <v>303.20803209129917</v>
      </c>
      <c r="P71" s="31"/>
      <c r="Q71" s="35">
        <f>Q25/0.66950733</f>
        <v>477.9634003409642</v>
      </c>
      <c r="R71" s="31"/>
      <c r="S71" s="35">
        <f>S25/0.66950733</f>
        <v>10070.091390933689</v>
      </c>
      <c r="T71" s="31"/>
      <c r="U71" s="35">
        <f>U25/0.66950733</f>
        <v>1314.3993509376514</v>
      </c>
      <c r="V71" s="8"/>
    </row>
    <row r="72" spans="1:23" s="1" customFormat="1" ht="10.15" customHeight="1">
      <c r="A72" s="23">
        <v>1995</v>
      </c>
      <c r="B72" s="8"/>
      <c r="C72" s="35">
        <f>C26/0.69605562</f>
        <v>12740.361179757445</v>
      </c>
      <c r="D72" s="31"/>
      <c r="E72" s="35">
        <f>E26/0.69605562</f>
        <v>3443.6903188857236</v>
      </c>
      <c r="F72" s="31"/>
      <c r="G72" s="35">
        <f>G26/0.69605562</f>
        <v>74213.896872206853</v>
      </c>
      <c r="H72" s="31"/>
      <c r="I72" s="31"/>
      <c r="J72" s="31"/>
      <c r="K72" s="31"/>
      <c r="L72" s="31"/>
      <c r="M72" s="35">
        <f>M26/0.69605562</f>
        <v>24686.245619279678</v>
      </c>
      <c r="N72" s="31"/>
      <c r="O72" s="35">
        <f>O26/0.69605562</f>
        <v>321.81336313325079</v>
      </c>
      <c r="P72" s="31"/>
      <c r="Q72" s="35">
        <f>Q26/0.69605562</f>
        <v>492.77671229779025</v>
      </c>
      <c r="R72" s="31"/>
      <c r="S72" s="35">
        <f>S26/0.69605562</f>
        <v>8936.0674941465168</v>
      </c>
      <c r="T72" s="31"/>
      <c r="U72" s="35">
        <f>U26/0.69605562</f>
        <v>1379.2001277139318</v>
      </c>
      <c r="V72" s="8"/>
    </row>
    <row r="73" spans="1:23" s="1" customFormat="1" ht="10.15" customHeight="1">
      <c r="A73" s="19">
        <v>1996</v>
      </c>
      <c r="B73" s="8"/>
      <c r="C73" s="35">
        <f>C27/0.71553844</f>
        <v>12049.667101043517</v>
      </c>
      <c r="D73" s="31"/>
      <c r="E73" s="35">
        <f>E27/0.71553844</f>
        <v>3218.5552463121339</v>
      </c>
      <c r="F73" s="31"/>
      <c r="G73" s="35">
        <f>G27/0.71553844</f>
        <v>79523.330710227106</v>
      </c>
      <c r="H73" s="31"/>
      <c r="I73" s="31"/>
      <c r="J73" s="31"/>
      <c r="K73" s="31"/>
      <c r="L73" s="31"/>
      <c r="M73" s="35">
        <f>M27/0.71553844</f>
        <v>25682.757169551925</v>
      </c>
      <c r="N73" s="31"/>
      <c r="O73" s="35">
        <f>O27/0.71553844</f>
        <v>342.39949428852486</v>
      </c>
      <c r="P73" s="31"/>
      <c r="Q73" s="35">
        <f>Q27/0.71553844</f>
        <v>525.47840756116466</v>
      </c>
      <c r="R73" s="31"/>
      <c r="S73" s="35">
        <f>S27/0.71553844</f>
        <v>9267.1471290906466</v>
      </c>
      <c r="T73" s="31"/>
      <c r="U73" s="35">
        <f>U27/0.71553844</f>
        <v>1449.258267662042</v>
      </c>
      <c r="V73" s="8"/>
    </row>
    <row r="74" spans="1:23" s="1" customFormat="1" ht="10.15" customHeight="1">
      <c r="A74" s="19">
        <v>1997</v>
      </c>
      <c r="B74" s="8"/>
      <c r="C74" s="35">
        <f>C28/0.73399711</f>
        <v>12997.326379118849</v>
      </c>
      <c r="D74" s="31"/>
      <c r="E74" s="35">
        <f>E28/0.73399711</f>
        <v>3329.7133826589588</v>
      </c>
      <c r="F74" s="31"/>
      <c r="G74" s="35">
        <f>G28/0.73399711</f>
        <v>87124.32123881251</v>
      </c>
      <c r="H74" s="31"/>
      <c r="I74" s="31"/>
      <c r="J74" s="31"/>
      <c r="K74" s="31"/>
      <c r="L74" s="31"/>
      <c r="M74" s="35">
        <f>M28/0.73399711</f>
        <v>25915.633373542845</v>
      </c>
      <c r="N74" s="31"/>
      <c r="O74" s="35">
        <f>O28/0.73399711</f>
        <v>380.11048844592864</v>
      </c>
      <c r="P74" s="31"/>
      <c r="Q74" s="35">
        <f>Q28/0.73399711</f>
        <v>559.94770878593783</v>
      </c>
      <c r="R74" s="31"/>
      <c r="S74" s="35">
        <f>S28/0.73399711</f>
        <v>8614.4753349233215</v>
      </c>
      <c r="T74" s="31"/>
      <c r="U74" s="35">
        <f>U28/0.73399711</f>
        <v>1599.4613384785671</v>
      </c>
      <c r="V74" s="8"/>
    </row>
    <row r="75" spans="1:23" s="1" customFormat="1" ht="10.15" customHeight="1">
      <c r="A75" s="19">
        <v>1998</v>
      </c>
      <c r="B75" s="8"/>
      <c r="C75" s="35">
        <f>C29/0.75178031</f>
        <v>13625.527421610197</v>
      </c>
      <c r="D75" s="31"/>
      <c r="E75" s="35">
        <f>E29/0.75178031</f>
        <v>3383.5252948125544</v>
      </c>
      <c r="F75" s="31"/>
      <c r="G75" s="35">
        <f>G29/0.75178031</f>
        <v>108192.62277582436</v>
      </c>
      <c r="H75" s="31"/>
      <c r="I75" s="31"/>
      <c r="J75" s="31"/>
      <c r="K75" s="31"/>
      <c r="L75" s="31"/>
      <c r="M75" s="35">
        <f>M29/0.75178031</f>
        <v>26122.869391789391</v>
      </c>
      <c r="N75" s="31"/>
      <c r="O75" s="35">
        <f>O29/0.75178031</f>
        <v>358.54467432696055</v>
      </c>
      <c r="P75" s="31"/>
      <c r="Q75" s="35">
        <f>Q29/0.75178031</f>
        <v>579.30539097585074</v>
      </c>
      <c r="R75" s="31"/>
      <c r="S75" s="35">
        <f>S29/0.75178031</f>
        <v>2924.4075574579533</v>
      </c>
      <c r="T75" s="31"/>
      <c r="U75" s="35">
        <f>U29/0.75178031</f>
        <v>1786.1255103330848</v>
      </c>
      <c r="V75" s="8"/>
    </row>
    <row r="76" spans="1:23" s="1" customFormat="1" ht="10.15" customHeight="1">
      <c r="A76" s="19">
        <v>1999</v>
      </c>
      <c r="B76" s="8"/>
      <c r="C76" s="37">
        <f>C30/0.769701</f>
        <v>14639.954307467882</v>
      </c>
      <c r="D76" s="38"/>
      <c r="E76" s="37">
        <f>E30/0.769701</f>
        <v>3098.3342396394451</v>
      </c>
      <c r="F76" s="38"/>
      <c r="G76" s="37">
        <f>G30/0.769701</f>
        <v>105892.92489200013</v>
      </c>
      <c r="H76" s="38"/>
      <c r="I76" s="38"/>
      <c r="J76" s="38"/>
      <c r="K76" s="38"/>
      <c r="L76" s="38"/>
      <c r="M76" s="37">
        <f>M30/0.769701</f>
        <v>28538.955111497809</v>
      </c>
      <c r="N76" s="38"/>
      <c r="O76" s="37">
        <f>O30/0.769701</f>
        <v>337.23675939277132</v>
      </c>
      <c r="P76" s="38"/>
      <c r="Q76" s="37">
        <f>Q30/0.769701</f>
        <v>591.69687006565414</v>
      </c>
      <c r="R76" s="38"/>
      <c r="S76" s="37">
        <f>S30/0.769701</f>
        <v>4364.3534619805159</v>
      </c>
      <c r="T76" s="38"/>
      <c r="U76" s="37">
        <f>U30/0.769701</f>
        <v>2043.6381712352511</v>
      </c>
      <c r="V76" s="20"/>
    </row>
    <row r="77" spans="1:23" s="1" customFormat="1" ht="10.15" customHeight="1">
      <c r="A77" s="19">
        <v>2000</v>
      </c>
      <c r="B77" s="20"/>
      <c r="C77" s="37">
        <f>C31/0.79085156</f>
        <v>15083.113495899313</v>
      </c>
      <c r="D77" s="38"/>
      <c r="E77" s="37">
        <f>E31/0.79085156</f>
        <v>2912.5754744137421</v>
      </c>
      <c r="F77" s="38"/>
      <c r="G77" s="37">
        <f>G31/0.79085156</f>
        <v>105266.49368078592</v>
      </c>
      <c r="H77" s="38"/>
      <c r="I77" s="38"/>
      <c r="J77" s="38"/>
      <c r="K77" s="38"/>
      <c r="L77" s="38"/>
      <c r="M77" s="37">
        <f>M31/0.79085156</f>
        <v>28420.993482517839</v>
      </c>
      <c r="N77" s="38"/>
      <c r="O77" s="37">
        <f>O31/0.79085156</f>
        <v>338.43084153394614</v>
      </c>
      <c r="P77" s="38"/>
      <c r="Q77" s="37">
        <f>Q31/0.79085156</f>
        <v>637.11717604019293</v>
      </c>
      <c r="R77" s="38"/>
      <c r="S77" s="37">
        <f>S31/0.79085156</f>
        <v>3970.6347060319977</v>
      </c>
      <c r="T77" s="38"/>
      <c r="U77" s="37">
        <f>U31/0.79085156</f>
        <v>2342.9701258855421</v>
      </c>
      <c r="V77" s="20"/>
    </row>
    <row r="78" spans="1:23" s="1" customFormat="1" ht="10.15" customHeight="1">
      <c r="A78" s="19">
        <v>2001</v>
      </c>
      <c r="B78" s="20"/>
      <c r="C78" s="37">
        <f>C32/0.81892213</f>
        <v>15496.85545927075</v>
      </c>
      <c r="D78" s="38"/>
      <c r="E78" s="37">
        <f>E32/0.81892213</f>
        <v>3019.1924073220557</v>
      </c>
      <c r="F78" s="38"/>
      <c r="G78" s="37">
        <f>G32/0.81892213</f>
        <v>105845.85829091031</v>
      </c>
      <c r="H78" s="38"/>
      <c r="I78" s="38"/>
      <c r="J78" s="38"/>
      <c r="K78" s="38"/>
      <c r="L78" s="38"/>
      <c r="M78" s="37">
        <f>M32/0.81892213</f>
        <v>29717.171883523912</v>
      </c>
      <c r="N78" s="38"/>
      <c r="O78" s="37">
        <f>O32/0.81892213</f>
        <v>315.27470223911081</v>
      </c>
      <c r="P78" s="38"/>
      <c r="Q78" s="37">
        <f>Q32/0.81892213</f>
        <v>546.69126605601423</v>
      </c>
      <c r="R78" s="38"/>
      <c r="S78" s="37">
        <f>S32/0.81892213</f>
        <v>4251.1532572464566</v>
      </c>
      <c r="T78" s="38"/>
      <c r="U78" s="37">
        <f>U32/0.81892213</f>
        <v>2537.2370570385165</v>
      </c>
      <c r="V78" s="20"/>
    </row>
    <row r="79" spans="1:23" s="1" customFormat="1" ht="10.15" customHeight="1">
      <c r="A79" s="19">
        <v>2002</v>
      </c>
      <c r="B79" s="20"/>
      <c r="C79" s="37">
        <f>C33/0.84026596</f>
        <v>15898.919427924244</v>
      </c>
      <c r="D79" s="38"/>
      <c r="E79" s="37">
        <f>E33/0.84026596</f>
        <v>3213.0495784776554</v>
      </c>
      <c r="F79" s="38"/>
      <c r="G79" s="37">
        <f>G33/0.84026596</f>
        <v>112357.21871137137</v>
      </c>
      <c r="H79" s="38"/>
      <c r="I79" s="38"/>
      <c r="J79" s="38"/>
      <c r="K79" s="38"/>
      <c r="L79" s="38"/>
      <c r="M79" s="37">
        <f>M33/0.84026596</f>
        <v>30508.993984051056</v>
      </c>
      <c r="N79" s="38"/>
      <c r="O79" s="37">
        <f>O33/0.84026596</f>
        <v>310.49210778540498</v>
      </c>
      <c r="P79" s="38"/>
      <c r="Q79" s="37">
        <f>Q33/0.84026596</f>
        <v>536.42997787419347</v>
      </c>
      <c r="R79" s="38"/>
      <c r="S79" s="37">
        <f>S33/0.84026596</f>
        <v>4750.4708369360314</v>
      </c>
      <c r="T79" s="38"/>
      <c r="U79" s="37">
        <f>U33/0.84026596</f>
        <v>2704.129791957118</v>
      </c>
      <c r="V79" s="20"/>
    </row>
    <row r="80" spans="1:23" s="1" customFormat="1" ht="10.15" customHeight="1">
      <c r="A80" s="19">
        <v>2003</v>
      </c>
      <c r="B80" s="20"/>
      <c r="C80" s="37">
        <f>C34/0.86875496</f>
        <v>15743.73483123181</v>
      </c>
      <c r="D80" s="38"/>
      <c r="E80" s="37">
        <f>E34/0.86875496</f>
        <v>3367.7609380294152</v>
      </c>
      <c r="F80" s="38"/>
      <c r="G80" s="37">
        <f>G34/0.86875496</f>
        <v>112136.57364480749</v>
      </c>
      <c r="H80" s="38"/>
      <c r="I80" s="38"/>
      <c r="J80" s="38"/>
      <c r="K80" s="38"/>
      <c r="L80" s="38"/>
      <c r="M80" s="37">
        <f>M34/0.86875496</f>
        <v>30776.254045185204</v>
      </c>
      <c r="N80" s="38"/>
      <c r="O80" s="37">
        <f>O34/0.86875496</f>
        <v>295.26849740968566</v>
      </c>
      <c r="P80" s="38"/>
      <c r="Q80" s="37">
        <f>Q34/0.86875496</f>
        <v>515.88823879943777</v>
      </c>
      <c r="R80" s="38"/>
      <c r="S80" s="37">
        <f>S34/0.86875496</f>
        <v>4311.6550243980555</v>
      </c>
      <c r="T80" s="38"/>
      <c r="U80" s="37">
        <f>U34/0.86875496</f>
        <v>2894.3337526673031</v>
      </c>
      <c r="V80" s="20"/>
      <c r="W80" s="39"/>
    </row>
    <row r="81" spans="1:23" s="1" customFormat="1" ht="10.15" customHeight="1">
      <c r="A81" s="19">
        <v>2004</v>
      </c>
      <c r="B81" s="20"/>
      <c r="C81" s="37">
        <f>C35/0.90598113</f>
        <v>15220.796512113813</v>
      </c>
      <c r="D81" s="38"/>
      <c r="E81" s="37">
        <f>E35/0.90598113</f>
        <v>3241.8665723633826</v>
      </c>
      <c r="F81" s="38"/>
      <c r="G81" s="37">
        <f>G35/0.90598113</f>
        <v>112486.06635277075</v>
      </c>
      <c r="H81" s="38"/>
      <c r="I81" s="38"/>
      <c r="J81" s="38"/>
      <c r="K81" s="38"/>
      <c r="L81" s="38"/>
      <c r="M81" s="37">
        <f>M35/0.90598113</f>
        <v>30518.936722658542</v>
      </c>
      <c r="N81" s="38"/>
      <c r="O81" s="37">
        <f>O35/0.90598113</f>
        <v>279.57004009167053</v>
      </c>
      <c r="P81" s="38"/>
      <c r="Q81" s="37">
        <f>Q35/0.90598113</f>
        <v>555.80307550524401</v>
      </c>
      <c r="R81" s="38"/>
      <c r="S81" s="37">
        <f>S35/0.90598113</f>
        <v>4523.7921801361053</v>
      </c>
      <c r="T81" s="38"/>
      <c r="U81" s="37">
        <f>U35/0.90598113</f>
        <v>3018.8147210452671</v>
      </c>
      <c r="V81" s="20"/>
    </row>
    <row r="82" spans="1:23" s="1" customFormat="1" ht="10.15" customHeight="1">
      <c r="A82" s="19">
        <v>2005</v>
      </c>
      <c r="B82" s="20"/>
      <c r="C82" s="37">
        <f>C36/0.93732541</f>
        <v>15364.492955252899</v>
      </c>
      <c r="D82" s="38"/>
      <c r="E82" s="37">
        <f>E36/0.93732541</f>
        <v>2722.9258966154134</v>
      </c>
      <c r="F82" s="38"/>
      <c r="G82" s="37">
        <f>G36/0.93732541</f>
        <v>117663.57235035974</v>
      </c>
      <c r="H82" s="38"/>
      <c r="I82" s="38"/>
      <c r="J82" s="38"/>
      <c r="K82" s="38"/>
      <c r="L82" s="38"/>
      <c r="M82" s="37">
        <f>M36/0.93732541</f>
        <v>31517.531226842169</v>
      </c>
      <c r="N82" s="38"/>
      <c r="O82" s="37">
        <f>O36/0.93732541</f>
        <v>293.07731029222015</v>
      </c>
      <c r="P82" s="38"/>
      <c r="Q82" s="37">
        <f>Q36/0.93732541</f>
        <v>475.14606543364431</v>
      </c>
      <c r="R82" s="38"/>
      <c r="S82" s="37">
        <f>S36/0.93732541</f>
        <v>4719.7227243061498</v>
      </c>
      <c r="T82" s="38"/>
      <c r="U82" s="37">
        <f>U36/0.93732541</f>
        <v>3140.7994568221566</v>
      </c>
      <c r="V82" s="20"/>
    </row>
    <row r="83" spans="1:23" s="1" customFormat="1" ht="10.15" customHeight="1">
      <c r="A83" s="19">
        <v>2006</v>
      </c>
      <c r="B83" s="20"/>
      <c r="C83" s="37">
        <f>C37/0.96654964</f>
        <v>13727.666353735141</v>
      </c>
      <c r="D83" s="38"/>
      <c r="E83" s="37">
        <f>E37/0.96654964</f>
        <v>2796.4590475221835</v>
      </c>
      <c r="F83" s="38"/>
      <c r="G83" s="37">
        <f>G37/0.96654964</f>
        <v>114596.31042196717</v>
      </c>
      <c r="H83" s="38"/>
      <c r="I83" s="38"/>
      <c r="J83" s="38"/>
      <c r="K83" s="38"/>
      <c r="L83" s="38"/>
      <c r="M83" s="37">
        <f>M37/0.96654964</f>
        <v>31730.037121243851</v>
      </c>
      <c r="N83" s="38"/>
      <c r="O83" s="37">
        <f>O37/0.96654964</f>
        <v>269.08374484037932</v>
      </c>
      <c r="P83" s="38"/>
      <c r="Q83" s="37">
        <f>Q37/0.96654964</f>
        <v>437.59307411624252</v>
      </c>
      <c r="R83" s="38"/>
      <c r="S83" s="37">
        <f>S37/0.96654964</f>
        <v>5454.2826633018576</v>
      </c>
      <c r="T83" s="38"/>
      <c r="U83" s="37">
        <f>U37/0.96654964</f>
        <v>1215.9329839216816</v>
      </c>
      <c r="V83" s="20"/>
      <c r="W83" s="39"/>
    </row>
    <row r="84" spans="1:23" s="1" customFormat="1" ht="10.15" customHeight="1">
      <c r="A84" s="33">
        <v>2007</v>
      </c>
      <c r="B84" s="26"/>
      <c r="C84" s="40">
        <f>C38/1</f>
        <v>14140.626578475019</v>
      </c>
      <c r="D84" s="41"/>
      <c r="E84" s="40">
        <f>E38/1</f>
        <v>2971.7221789034779</v>
      </c>
      <c r="F84" s="41"/>
      <c r="G84" s="40">
        <f>G38/1</f>
        <v>115599.90967128497</v>
      </c>
      <c r="H84" s="41"/>
      <c r="I84" s="41"/>
      <c r="J84" s="41"/>
      <c r="K84" s="41"/>
      <c r="L84" s="41"/>
      <c r="M84" s="40">
        <f>M38/1</f>
        <v>31770.987779424748</v>
      </c>
      <c r="N84" s="41"/>
      <c r="O84" s="40">
        <f>O38/1</f>
        <v>274.11418760109035</v>
      </c>
      <c r="P84" s="41"/>
      <c r="Q84" s="40">
        <f>Q38/1</f>
        <v>487.12480988252105</v>
      </c>
      <c r="R84" s="41"/>
      <c r="S84" s="40">
        <f>S38/1</f>
        <v>5957.9119122363381</v>
      </c>
      <c r="T84" s="41"/>
      <c r="U84" s="40">
        <f>U38/1</f>
        <v>441.98554751574773</v>
      </c>
      <c r="V84" s="26"/>
    </row>
    <row r="85" spans="1:23" s="4" customFormat="1" ht="9.9499999999999993" customHeight="1">
      <c r="A85" s="9" t="s">
        <v>49</v>
      </c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</row>
    <row r="86" spans="1:23" s="4" customFormat="1" ht="9.9499999999999993" customHeight="1">
      <c r="A86" s="11" t="s">
        <v>36</v>
      </c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</row>
    <row r="87" spans="1:23" s="4" customFormat="1" ht="9.9499999999999993" customHeight="1">
      <c r="A87" s="12" t="s">
        <v>50</v>
      </c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</row>
    <row r="88" spans="1:23" s="4" customFormat="1" ht="9" customHeight="1">
      <c r="A88" s="14" t="s">
        <v>37</v>
      </c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</row>
    <row r="89" spans="1:23" s="4" customFormat="1" ht="9" customHeight="1">
      <c r="A89" s="14" t="s">
        <v>38</v>
      </c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</row>
    <row r="90" spans="1:23" s="4" customFormat="1" ht="9" customHeight="1">
      <c r="A90" s="14" t="s">
        <v>39</v>
      </c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</row>
    <row r="91" spans="1:23" s="4" customFormat="1" ht="9.9499999999999993" customHeight="1">
      <c r="A91" s="9" t="s">
        <v>51</v>
      </c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</row>
    <row r="92" spans="1:23" s="4" customFormat="1" ht="9" customHeight="1">
      <c r="A92" s="14" t="s">
        <v>40</v>
      </c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</row>
    <row r="93" spans="1:23" s="4" customFormat="1" ht="9" customHeight="1">
      <c r="A93" s="15" t="s">
        <v>41</v>
      </c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</row>
    <row r="94" spans="1:23" s="4" customFormat="1" ht="9" customHeight="1">
      <c r="A94" s="15" t="s">
        <v>42</v>
      </c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</row>
    <row r="95" spans="1:23" s="4" customFormat="1" ht="3" customHeight="1">
      <c r="A95" s="14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</row>
    <row r="96" spans="1:23" s="4" customFormat="1" ht="9" customHeight="1">
      <c r="A96" s="16" t="s">
        <v>43</v>
      </c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</row>
    <row r="97" spans="1:22" s="4" customFormat="1" ht="9" customHeight="1">
      <c r="A97" s="15" t="s">
        <v>44</v>
      </c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</row>
    <row r="98" spans="1:22" s="4" customFormat="1" ht="8.4499999999999993" customHeight="1">
      <c r="A98" s="15" t="s">
        <v>65</v>
      </c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</row>
    <row r="99" spans="1:22" s="4" customFormat="1" ht="8.4499999999999993" customHeight="1">
      <c r="A99" s="15" t="s">
        <v>45</v>
      </c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</row>
    <row r="100" spans="1:22" s="4" customFormat="1" ht="3" customHeight="1">
      <c r="A100" s="17" t="s">
        <v>0</v>
      </c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</row>
    <row r="101" spans="1:22" s="5" customFormat="1" ht="9" customHeight="1">
      <c r="A101" s="17" t="s">
        <v>46</v>
      </c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0"/>
      <c r="N101" s="10"/>
      <c r="O101" s="10"/>
      <c r="P101" s="10"/>
      <c r="Q101" s="10"/>
      <c r="R101" s="10"/>
      <c r="S101" s="10"/>
      <c r="T101" s="10"/>
      <c r="U101" s="10"/>
      <c r="V101" s="10"/>
    </row>
    <row r="102" spans="1:22" s="5" customFormat="1" ht="9" customHeight="1">
      <c r="A102" s="15" t="s">
        <v>48</v>
      </c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0"/>
      <c r="N102" s="10"/>
      <c r="O102" s="10"/>
      <c r="P102" s="10"/>
      <c r="Q102" s="10"/>
      <c r="R102" s="10"/>
      <c r="S102" s="10"/>
      <c r="T102" s="10"/>
      <c r="U102" s="10"/>
      <c r="V102" s="10"/>
    </row>
    <row r="103" spans="1:22" s="5" customFormat="1" ht="9" customHeight="1">
      <c r="A103" s="15" t="s">
        <v>47</v>
      </c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0"/>
      <c r="N103" s="10"/>
      <c r="O103" s="10"/>
      <c r="P103" s="10"/>
      <c r="Q103" s="10"/>
      <c r="R103" s="10"/>
      <c r="S103" s="10"/>
      <c r="T103" s="10"/>
      <c r="U103" s="10"/>
      <c r="V103" s="10"/>
    </row>
  </sheetData>
  <mergeCells count="7">
    <mergeCell ref="A1:V1"/>
    <mergeCell ref="C51:V51"/>
    <mergeCell ref="A3:V3"/>
    <mergeCell ref="A48:V48"/>
    <mergeCell ref="A46:V46"/>
    <mergeCell ref="A2:V2"/>
    <mergeCell ref="A47:V47"/>
  </mergeCells>
  <phoneticPr fontId="2" type="noConversion"/>
  <printOptions gridLinesSet="0"/>
  <pageMargins left="0.8" right="0.7" top="1" bottom="0.5" header="0.5" footer="0.5"/>
  <pageSetup firstPageNumber="234" orientation="portrait" useFirstPageNumber="1" horizontalDpi="300" verticalDpi="300" r:id="rId1"/>
  <headerFooter alignWithMargins="0">
    <oddFooter>&amp;L&amp;"Times New Roman,Bold"&amp;8HEALTH CARE FINANCING REVIEW/&amp;"Times New Roman,Regular"&amp;6 2009 Statistical Supplement</oddFooter>
  </headerFooter>
  <rowBreaks count="1" manualBreakCount="1">
    <brk id="45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TABLE13.15</vt:lpstr>
      <vt:lpstr>TABLE13.15!Print_Area</vt:lpstr>
      <vt:lpstr>Print_Area</vt:lpstr>
      <vt:lpstr>TABLE13.15!Print_Area_MI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2010-02-24T20:00:45Z</cp:lastPrinted>
  <dcterms:created xsi:type="dcterms:W3CDTF">1999-10-08T13:43:52Z</dcterms:created>
  <dcterms:modified xsi:type="dcterms:W3CDTF">2010-02-24T20:04:49Z</dcterms:modified>
</cp:coreProperties>
</file>